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1"/>
  </bookViews>
  <sheets>
    <sheet name="Summ Changes" sheetId="1" r:id="rId1"/>
    <sheet name="2021 Bud Pres Commentary" sheetId="2" r:id="rId2"/>
    <sheet name="2021 Budget lines" sheetId="3" r:id="rId3"/>
    <sheet name=" 2021 Bud Summary" sheetId="4" r:id="rId4"/>
  </sheets>
  <definedNames>
    <definedName name="_xlnm.Print_Area" localSheetId="3">' 2021 Bud Summary'!$A$1:$R$66</definedName>
    <definedName name="_xlnm.Print_Area" localSheetId="1">'2021 Bud Pres Commentary'!$A$1:$Q$35</definedName>
    <definedName name="_xlnm.Print_Area" localSheetId="2">'2021 Budget lines'!$A$1:$Y$189</definedName>
    <definedName name="PRINT_AREA_MI">#REF!</definedName>
    <definedName name="_xlnm.Print_Titles" localSheetId="2">'2021 Budget lines'!$1:$5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<sst xmlns="http://schemas.openxmlformats.org/spreadsheetml/2006/main" count="2358" uniqueCount="477">
  <si>
    <t xml:space="preserve">   Parish Internship Program</t>
  </si>
  <si>
    <t xml:space="preserve">   Ordination Outfit Grant</t>
  </si>
  <si>
    <t xml:space="preserve">   Ordination Expenses</t>
  </si>
  <si>
    <t>Continuing Education</t>
  </si>
  <si>
    <t>Less:  Congregation Assessment</t>
  </si>
  <si>
    <t>Cost to Diocese - Continuing Education</t>
  </si>
  <si>
    <t>Huron Hunger Fund</t>
  </si>
  <si>
    <t>Refugee Committee</t>
  </si>
  <si>
    <t>Provincial Synod Assessment</t>
  </si>
  <si>
    <t>Gen. Synod Delegates' Expenses</t>
  </si>
  <si>
    <t>Prov. Synod Delegates' Expenses</t>
  </si>
  <si>
    <t>Lambeth Conference Int'l Fund</t>
  </si>
  <si>
    <t>Administration &amp; Finance:</t>
  </si>
  <si>
    <t xml:space="preserve">   Fire and Liability Insurance</t>
  </si>
  <si>
    <t>Bank charges and interest expenses</t>
  </si>
  <si>
    <t xml:space="preserve">   Postage, Courier</t>
  </si>
  <si>
    <t xml:space="preserve">   Anglican Church Women Fair Share</t>
  </si>
  <si>
    <t xml:space="preserve">   ACW contribution to office expenses</t>
  </si>
  <si>
    <t xml:space="preserve">   Accounts Rec Parish Interest</t>
  </si>
  <si>
    <t xml:space="preserve">   Bank Interest</t>
  </si>
  <si>
    <t xml:space="preserve">   Prior Year's Apportionment</t>
  </si>
  <si>
    <t xml:space="preserve">   Revolving Loans Interest</t>
  </si>
  <si>
    <t>Total Revenue</t>
  </si>
  <si>
    <t>Office Expenses for Synod Office:</t>
  </si>
  <si>
    <t xml:space="preserve">  Staff Development</t>
  </si>
  <si>
    <t xml:space="preserve">   Grants and Loans Subcommittee</t>
  </si>
  <si>
    <t xml:space="preserve">   Investments Committee</t>
  </si>
  <si>
    <t xml:space="preserve">   Land and Property Subcommittee</t>
  </si>
  <si>
    <t xml:space="preserve">   Telephone, Fax, Email, Internet</t>
  </si>
  <si>
    <t xml:space="preserve">   Compensation Subcommittee</t>
  </si>
  <si>
    <t>Counselling/EAP/Mediation costs</t>
  </si>
  <si>
    <t>Archdeacons' Award Endowment</t>
  </si>
  <si>
    <t>Bishopstowe Interest</t>
  </si>
  <si>
    <t>Capital Reserve Interest</t>
  </si>
  <si>
    <t>Episcopal Endowment</t>
  </si>
  <si>
    <t>General Purpose Endowment</t>
  </si>
  <si>
    <t>Eleanor Jared Memorial Endowment</t>
  </si>
  <si>
    <t>Mission Fund Endowment</t>
  </si>
  <si>
    <t>Sick Benefit Fund</t>
  </si>
  <si>
    <t>Trusts Management Fees</t>
  </si>
  <si>
    <t>LAIC &amp; Native Ministry</t>
  </si>
  <si>
    <t>Sifton Parking Revenue</t>
  </si>
  <si>
    <t xml:space="preserve">   Utilities,Rent for Synod Office</t>
  </si>
  <si>
    <t xml:space="preserve">   Property Taxes</t>
  </si>
  <si>
    <t xml:space="preserve">   Health &amp; Safety Committee</t>
  </si>
  <si>
    <t>Human Resources Committee</t>
  </si>
  <si>
    <t>Board of Deacons</t>
  </si>
  <si>
    <t>Diocesan Cathedral Expense</t>
  </si>
  <si>
    <t>Huron College - Theological Education</t>
  </si>
  <si>
    <t>Archives operating exp.</t>
  </si>
  <si>
    <t xml:space="preserve">  Office Staff Salaries </t>
  </si>
  <si>
    <t xml:space="preserve">   Huron Development  Fund Interest</t>
  </si>
  <si>
    <t>Diocesan Revenue: (other than apportionments)</t>
  </si>
  <si>
    <t>Total</t>
  </si>
  <si>
    <t>Synod Planning</t>
  </si>
  <si>
    <t xml:space="preserve">   Resource Material Revenue Sales</t>
  </si>
  <si>
    <t>Total Expenditures</t>
  </si>
  <si>
    <t>Provision for Lambeth Conference</t>
  </si>
  <si>
    <t>Synod &amp; Diocesan Council Meetings</t>
  </si>
  <si>
    <t>Healing &amp; Reconciliation</t>
  </si>
  <si>
    <t>ACPO</t>
  </si>
  <si>
    <t xml:space="preserve">   Capital Develop. Trust Rev</t>
  </si>
  <si>
    <t xml:space="preserve">   Legal - St. Aidan's, Windsor</t>
  </si>
  <si>
    <t>Communications Committee</t>
  </si>
  <si>
    <t>Strategic Planning</t>
  </si>
  <si>
    <t xml:space="preserve">   Insurance </t>
  </si>
  <si>
    <t>Grants to Parishes</t>
  </si>
  <si>
    <t>Companion Diocese</t>
  </si>
  <si>
    <t>Archives</t>
  </si>
  <si>
    <t>Mission &amp; Ministry</t>
  </si>
  <si>
    <t>Mission Grants to Native Parishes</t>
  </si>
  <si>
    <t xml:space="preserve">   Legal exp. reserve</t>
  </si>
  <si>
    <t>Childrens &amp; Youth Ministries</t>
  </si>
  <si>
    <t xml:space="preserve">       Youth Synod/Ministry of Youth</t>
  </si>
  <si>
    <t xml:space="preserve">       Grant to Huron Church Camp</t>
  </si>
  <si>
    <t>Communications</t>
  </si>
  <si>
    <t>Shared Ministries</t>
  </si>
  <si>
    <t>General Synod Assessment</t>
  </si>
  <si>
    <t>Cemetery Committee</t>
  </si>
  <si>
    <t xml:space="preserve">   Budget Committee</t>
  </si>
  <si>
    <t>Native Ministries</t>
  </si>
  <si>
    <t>Equip. &amp; Lease costs</t>
  </si>
  <si>
    <t>Paper/Office Supplies/Sundry</t>
  </si>
  <si>
    <t>Church House building loan interest</t>
  </si>
  <si>
    <t>Legal - general &amp; property</t>
  </si>
  <si>
    <t>Audit fees</t>
  </si>
  <si>
    <t>Ministry Services</t>
  </si>
  <si>
    <t>Payroll Benefits  (CPP/EI/EHT)</t>
  </si>
  <si>
    <t xml:space="preserve">Children's &amp; Youth Min. committee </t>
  </si>
  <si>
    <t>Clergy Ministry Benefits</t>
  </si>
  <si>
    <t>Retiring Ben. Returned for Gr. Ben.</t>
  </si>
  <si>
    <t xml:space="preserve">   Retiring Benefit contrib. </t>
  </si>
  <si>
    <t xml:space="preserve">   Huron Pension Plan contrib.</t>
  </si>
  <si>
    <t>Group Benefits - Active Clergy</t>
  </si>
  <si>
    <t>Group Benefits - Retired Clergy</t>
  </si>
  <si>
    <t xml:space="preserve">General Synod Pension </t>
  </si>
  <si>
    <t>Cost to Diocese - General Synod Pension</t>
  </si>
  <si>
    <t>Received from ext. ministries:</t>
  </si>
  <si>
    <t>Interf. Trust Rev./Misc Rev.</t>
  </si>
  <si>
    <t>Interfund RevenueTransfers</t>
  </si>
  <si>
    <t>Special Events</t>
  </si>
  <si>
    <t xml:space="preserve">  Executive Travel</t>
  </si>
  <si>
    <t>Safe Church</t>
  </si>
  <si>
    <t>Assistance to Theology Students (CATS)</t>
  </si>
  <si>
    <t>Clinical Pastoral Education</t>
  </si>
  <si>
    <t>Postulancy Board and Ordinands</t>
  </si>
  <si>
    <t>Computer</t>
  </si>
  <si>
    <t>Web &amp; Internet</t>
  </si>
  <si>
    <t>Lay Leadership Training &amp; Educ.</t>
  </si>
  <si>
    <t>Bishop's Clergy Conf.</t>
  </si>
  <si>
    <t>Stewardship</t>
  </si>
  <si>
    <t>Co. vehicle reserve replace't</t>
  </si>
  <si>
    <t>Leadership &amp; Evangelism</t>
  </si>
  <si>
    <t>College Chaplaincy - Huron</t>
  </si>
  <si>
    <t>College Chaplaincy - Renison</t>
  </si>
  <si>
    <t>Camp Wendake (Aids)</t>
  </si>
  <si>
    <t>Social Justice</t>
  </si>
  <si>
    <t>Outreach &amp; Worship</t>
  </si>
  <si>
    <t>Anglican Fellowship of Prayer</t>
  </si>
  <si>
    <t>Doctrine &amp; Worship</t>
  </si>
  <si>
    <t>Ecumenical</t>
  </si>
  <si>
    <t>Mission to Seafarers</t>
  </si>
  <si>
    <t xml:space="preserve">Less:  Employer  LTD Assessment </t>
  </si>
  <si>
    <t xml:space="preserve">Less: Employee Assessment Gr.Benefits </t>
  </si>
  <si>
    <t>Less Employee LTD Assessments</t>
  </si>
  <si>
    <t xml:space="preserve">   Office Equipment Reserve &amp; Furn.</t>
  </si>
  <si>
    <t>Books/Subscriptions/fees</t>
  </si>
  <si>
    <t>Territorial Archdeacon's Exp.</t>
  </si>
  <si>
    <t>Transitional Ministries reserve</t>
  </si>
  <si>
    <t>Total Group Benefits</t>
  </si>
  <si>
    <t>Deficit reduction</t>
  </si>
  <si>
    <t>Total Synod Office Expenses</t>
  </si>
  <si>
    <t>Total Ministry Services</t>
  </si>
  <si>
    <t>Total Clergy Ministry Benefits</t>
  </si>
  <si>
    <t>Total Outreach &amp; Worship</t>
  </si>
  <si>
    <t>Total Native Ministries</t>
  </si>
  <si>
    <t>Total Communications</t>
  </si>
  <si>
    <t>Total Leadership &amp; Evangelism</t>
  </si>
  <si>
    <t>Total Shared Ministries</t>
  </si>
  <si>
    <t>Total Children's &amp; Youth Ministries</t>
  </si>
  <si>
    <t>Total Diocesan Expenditures</t>
  </si>
  <si>
    <t>Net Expenditures</t>
  </si>
  <si>
    <t>Apportionment to/from Parishes</t>
  </si>
  <si>
    <t xml:space="preserve">Diocese of Huron </t>
  </si>
  <si>
    <t xml:space="preserve">Expenditure Budget </t>
  </si>
  <si>
    <t>Budget Line #</t>
  </si>
  <si>
    <t>Congregational Develop</t>
  </si>
  <si>
    <t xml:space="preserve">  Bishops &amp; Executive Salaries </t>
  </si>
  <si>
    <t>Administration &amp; Office Costs</t>
  </si>
  <si>
    <t>preauthorized debit charges</t>
  </si>
  <si>
    <t>credit card charges</t>
  </si>
  <si>
    <t>Post Ordination Training</t>
  </si>
  <si>
    <t>Total Administration &amp; Office Costs</t>
  </si>
  <si>
    <t>6% (chg.)Provision for apportionment shortfall</t>
  </si>
  <si>
    <t>Diocese of Huron - Financial Operating Statement</t>
  </si>
  <si>
    <t xml:space="preserve">          Deficit Reduction</t>
  </si>
  <si>
    <t>ACW Contrib./office</t>
  </si>
  <si>
    <t>Prior Yr. Apport. Revenue</t>
  </si>
  <si>
    <t>Diocesan Trust Interest Income/Mgmt Fees</t>
  </si>
  <si>
    <t>Bank/Rec. Interest and Fees</t>
  </si>
  <si>
    <t>Parking Revenue</t>
  </si>
  <si>
    <t>Other</t>
  </si>
  <si>
    <t>College Chaplaincies</t>
  </si>
  <si>
    <t>General Synod Pension - Church House Staff</t>
  </si>
  <si>
    <t>Renew</t>
  </si>
  <si>
    <t>Bank Charges/Pre-Auth services</t>
  </si>
  <si>
    <t>Church House expenses, Audit &amp; Legal fees</t>
  </si>
  <si>
    <t>Revenue</t>
  </si>
  <si>
    <t>Apportionment Shortfall Provision</t>
  </si>
  <si>
    <t>General Synod</t>
  </si>
  <si>
    <t>Provincial Synod</t>
  </si>
  <si>
    <t>Group Benefits - Active &amp; Ret. Clergy</t>
  </si>
  <si>
    <t>Diocesan Cathedral Grant</t>
  </si>
  <si>
    <t>Total Apportionment</t>
  </si>
  <si>
    <t>College Chaplaincy - Canterbury</t>
  </si>
  <si>
    <t xml:space="preserve">   Human Resources Development/Clergy Well</t>
  </si>
  <si>
    <t>Thedford/Langford Bequest</t>
  </si>
  <si>
    <t>Renew Undesignated funding</t>
  </si>
  <si>
    <t>Actual 2013</t>
  </si>
  <si>
    <t>Surplus/(deficit)</t>
  </si>
  <si>
    <t>Church Camp accumulated surplus/(deficit)</t>
  </si>
  <si>
    <t>var.</t>
  </si>
  <si>
    <t>Total var.</t>
  </si>
  <si>
    <t>2014 Actual</t>
  </si>
  <si>
    <t>Compass Rose Society</t>
  </si>
  <si>
    <t>Actual 2014</t>
  </si>
  <si>
    <t>Interfund Trust Revenue/Renew/Misc. Rev.</t>
  </si>
  <si>
    <t>John Stables Bequest</t>
  </si>
  <si>
    <t xml:space="preserve">     TV/Media Relations</t>
  </si>
  <si>
    <t>surplus/(deficit)</t>
  </si>
  <si>
    <t>J.B.Hawkins/Blake-Fells/F.Maude Est</t>
  </si>
  <si>
    <t>Educ'n for Ministry</t>
  </si>
  <si>
    <t>Church Advi. Cmte./Bp. Cmte. on Min.</t>
  </si>
  <si>
    <t>increase in budget:</t>
  </si>
  <si>
    <t xml:space="preserve">   Retirement Move/Bp. Consecrat-retire</t>
  </si>
  <si>
    <t>2015 Actual</t>
  </si>
  <si>
    <t>Catechumenate/Worsh. Conf.</t>
  </si>
  <si>
    <t>Actual 2015</t>
  </si>
  <si>
    <t>2016 Actual</t>
  </si>
  <si>
    <t>Family Life Ministries Committee/Parish Educ</t>
  </si>
  <si>
    <t xml:space="preserve">                                            Renew/Fin Develop</t>
  </si>
  <si>
    <t>Church News Prod'n</t>
  </si>
  <si>
    <t>Actual 2016</t>
  </si>
  <si>
    <t>Church Camp surplus/(deficit)</t>
  </si>
  <si>
    <t>Custodial, maintenance expen</t>
  </si>
  <si>
    <t>Insurance (190 Queens)</t>
  </si>
  <si>
    <t>Car Insurance</t>
  </si>
  <si>
    <t>Mortgage Loan Repay-Synod Of</t>
  </si>
  <si>
    <t>Property Taxes</t>
  </si>
  <si>
    <t>Security</t>
  </si>
  <si>
    <t>Utilities - Synod office</t>
  </si>
  <si>
    <t>Utilities/other-Bp Cronyn</t>
  </si>
  <si>
    <t>2017 Apport. short</t>
  </si>
  <si>
    <t>2017 Provision</t>
  </si>
  <si>
    <t>2017Act.Net Exp.</t>
  </si>
  <si>
    <t>2017Bud.Net Exp.</t>
  </si>
  <si>
    <t/>
  </si>
  <si>
    <t>CARING COMMUNITY</t>
  </si>
  <si>
    <t>AIDS Committee</t>
  </si>
  <si>
    <t>Ministry of Youth</t>
  </si>
  <si>
    <t>HC Church Camp-Grant-Summary#2</t>
  </si>
  <si>
    <t>Parish Education Prog(Summ 11)</t>
  </si>
  <si>
    <t>Companion Diocese Relationship</t>
  </si>
  <si>
    <t>Caring Community Subtotal</t>
  </si>
  <si>
    <t>WORSHIP</t>
  </si>
  <si>
    <t>Doctrine &amp; Worship Committee</t>
  </si>
  <si>
    <t>Diocesan Ecumenical Officer</t>
  </si>
  <si>
    <t>Anglican/Multifaith</t>
  </si>
  <si>
    <t>Worship Conference</t>
  </si>
  <si>
    <t>Worship Subtotal</t>
  </si>
  <si>
    <t>EVANGELISM</t>
  </si>
  <si>
    <t>Evangelism Subtotal</t>
  </si>
  <si>
    <t>LEADERSHIP</t>
  </si>
  <si>
    <t>Anglican Church Women</t>
  </si>
  <si>
    <t>Brotherhood Anglican Churchmen</t>
  </si>
  <si>
    <t>Canterbury Chaplain</t>
  </si>
  <si>
    <t>Huron Chaplain</t>
  </si>
  <si>
    <t>Renison Chaplain</t>
  </si>
  <si>
    <t>Computer SysInternet Provider</t>
  </si>
  <si>
    <t>Huron Church News-Summary 4</t>
  </si>
  <si>
    <t>Safe Church Committee</t>
  </si>
  <si>
    <t>Native Ministries (Summary 12)</t>
  </si>
  <si>
    <t>Postulancy Board</t>
  </si>
  <si>
    <t>Parish Internship Program</t>
  </si>
  <si>
    <t>Ordination Outfit Grants</t>
  </si>
  <si>
    <t>Ordination Expenses</t>
  </si>
  <si>
    <t>Post Ordinands</t>
  </si>
  <si>
    <t>Clergy Wellness</t>
  </si>
  <si>
    <t>Education for Ministry</t>
  </si>
  <si>
    <t>Church Location Advisory Comm</t>
  </si>
  <si>
    <t>Bishop's Committee on Ministr</t>
  </si>
  <si>
    <t>CATS(Comm Assist Theolog Stdt)</t>
  </si>
  <si>
    <t>ACPO Funding</t>
  </si>
  <si>
    <t>Huron College - Theol. Ed.</t>
  </si>
  <si>
    <t>Lay Leadership Ed. &amp; Training</t>
  </si>
  <si>
    <t>Bishop's Clergy Conf Committee</t>
  </si>
  <si>
    <t>Special events</t>
  </si>
  <si>
    <t>Continued Education Plan</t>
  </si>
  <si>
    <t>Less Recovery:</t>
  </si>
  <si>
    <t>Congregation Assessment</t>
  </si>
  <si>
    <t>Cost to Diocese-Cont Ed</t>
  </si>
  <si>
    <t>Leadership Subtotal</t>
  </si>
  <si>
    <t>OUTREACH</t>
  </si>
  <si>
    <t>World Mission &amp; Social Justice</t>
  </si>
  <si>
    <t>Enviro-Action Committee</t>
  </si>
  <si>
    <t>General Synod Apportionment</t>
  </si>
  <si>
    <t>Prov. Synod Delegates' Expense</t>
  </si>
  <si>
    <t>Provision for Lambeth Confnce</t>
  </si>
  <si>
    <t>Lambeth Conference Inter. Fund</t>
  </si>
  <si>
    <t>Outreach Subtotal</t>
  </si>
  <si>
    <t>RESOURCE DEVELOPMENT</t>
  </si>
  <si>
    <t>Archives Ongoing Expenses</t>
  </si>
  <si>
    <t>Administration &amp; Finance</t>
  </si>
  <si>
    <t>Financial Development</t>
  </si>
  <si>
    <t>Budget Sub and Presentation</t>
  </si>
  <si>
    <t>Cemetery Committee Travel</t>
  </si>
  <si>
    <t>Fire and Liability Insurance</t>
  </si>
  <si>
    <t>Grants and Loans</t>
  </si>
  <si>
    <t>Investment</t>
  </si>
  <si>
    <t>Land and Property</t>
  </si>
  <si>
    <t>Bank Charges &amp; Interest Expens</t>
  </si>
  <si>
    <t>Pre-Authorized fees</t>
  </si>
  <si>
    <t>Credit Card Fees</t>
  </si>
  <si>
    <t>Grants to Parishes-Summary #3</t>
  </si>
  <si>
    <t>Grants to Native Parishes</t>
  </si>
  <si>
    <t>Organization Comm. of Synod</t>
  </si>
  <si>
    <t>Office:</t>
  </si>
  <si>
    <t>Printing,Paper and Photocopy</t>
  </si>
  <si>
    <t>Telephone and Fax</t>
  </si>
  <si>
    <t>Postage and Courier</t>
  </si>
  <si>
    <t>Postage-Business Reply Envel</t>
  </si>
  <si>
    <t>Equipment Maintenance &amp; Rent</t>
  </si>
  <si>
    <t>Office Equip Reserve &amp; Furn</t>
  </si>
  <si>
    <t>Computer chgs</t>
  </si>
  <si>
    <t>Office Supplies,Sundry&amp;Coffe</t>
  </si>
  <si>
    <t>Staff Development</t>
  </si>
  <si>
    <t>Property Expense Summary #1</t>
  </si>
  <si>
    <t>Regional Needs</t>
  </si>
  <si>
    <t>Territorial Archdeacons Exp.</t>
  </si>
  <si>
    <t>Bishops/Exec Staff Travel:</t>
  </si>
  <si>
    <t>Bishop of Huron Travel</t>
  </si>
  <si>
    <t>Suffragan Bishop-Travel</t>
  </si>
  <si>
    <t>Co vehicle reserve/replacemn</t>
  </si>
  <si>
    <t>Child &amp; Youth Minister-Tr</t>
  </si>
  <si>
    <t>Director Admin Serv-Travel</t>
  </si>
  <si>
    <t>Cong Develop Officer-Travel</t>
  </si>
  <si>
    <t>Bishops' Executive Assistant</t>
  </si>
  <si>
    <t>Chaplain's expenses</t>
  </si>
  <si>
    <t>Executive Comm exp (&amp; Synod)</t>
  </si>
  <si>
    <t>Strategic Planning Task Force</t>
  </si>
  <si>
    <t>Synod Expenditure Summary #16</t>
  </si>
  <si>
    <t>Training Congregational Dev.</t>
  </si>
  <si>
    <t>Books &amp; Mat Resource Room</t>
  </si>
  <si>
    <t>Audit Costs</t>
  </si>
  <si>
    <t>Legal Costs</t>
  </si>
  <si>
    <t>Legal Expense Reserve</t>
  </si>
  <si>
    <t>Legal Windsor, St. Aidan's</t>
  </si>
  <si>
    <t>Transitional Ministry</t>
  </si>
  <si>
    <t>Pension Board:</t>
  </si>
  <si>
    <t>Huron Pension Plan (2% apport)</t>
  </si>
  <si>
    <t>Retiring Benefit (2% apport)</t>
  </si>
  <si>
    <t>Retirement Moving Exp Benefit</t>
  </si>
  <si>
    <t>Vehicle Replacement expense</t>
  </si>
  <si>
    <t>Bishop's Consec/Retirement</t>
  </si>
  <si>
    <t>Subtotal partial Res Dev</t>
  </si>
  <si>
    <t>Group Benefits - Retired</t>
  </si>
  <si>
    <t>Group Benefits - Active</t>
  </si>
  <si>
    <t>Counselling/EAP/Mediations</t>
  </si>
  <si>
    <t>Employee Assessment Benefits</t>
  </si>
  <si>
    <t>Employee Assessment LTD</t>
  </si>
  <si>
    <t>Cost to Diocese Group Ben</t>
  </si>
  <si>
    <t>General Synod Pension Plan</t>
  </si>
  <si>
    <t>Pension Administration Fund</t>
  </si>
  <si>
    <t>Employee Assessment</t>
  </si>
  <si>
    <t>Cost to Diocese G/S Pension</t>
  </si>
  <si>
    <t>Pension Board Travel &amp; Expense</t>
  </si>
  <si>
    <t>Human Resources Development</t>
  </si>
  <si>
    <t>Human Res Committee Exp</t>
  </si>
  <si>
    <t>Health &amp; Safety Committee</t>
  </si>
  <si>
    <t>Compensation Subcommittee</t>
  </si>
  <si>
    <t>Bishop's/Exec Staff Salaries</t>
  </si>
  <si>
    <t>Canada Pension Plan</t>
  </si>
  <si>
    <t>Employer's Health Tax</t>
  </si>
  <si>
    <t>Unemployment Insurance</t>
  </si>
  <si>
    <t>Office Staff Salaries</t>
  </si>
  <si>
    <t>Resource Developmnt Subtotal</t>
  </si>
  <si>
    <t>GROSS EXPENSES</t>
  </si>
  <si>
    <t>REVENUE</t>
  </si>
  <si>
    <t>Available General Purposes:</t>
  </si>
  <si>
    <t>A.C.W. Fair Share</t>
  </si>
  <si>
    <t>ACW contrib. to office expense</t>
  </si>
  <si>
    <t>Blake/Fells Estate Trust</t>
  </si>
  <si>
    <t>Gen. Purpose Endowment</t>
  </si>
  <si>
    <t>Parking Revenue (Sifton)</t>
  </si>
  <si>
    <t>Eleanor Jared Memorial Endow.</t>
  </si>
  <si>
    <t>Fannie Maude Shaw Tilbury int</t>
  </si>
  <si>
    <t>Joseph Blake Hawkins Bequest</t>
  </si>
  <si>
    <t>Thedford, Langford Bequest</t>
  </si>
  <si>
    <t>Trusts Management Fee</t>
  </si>
  <si>
    <t>Revolving Loans Interest</t>
  </si>
  <si>
    <t>Huron Development Loans Int.</t>
  </si>
  <si>
    <t>Huron Development Fund Int.</t>
  </si>
  <si>
    <t>Bank Interest</t>
  </si>
  <si>
    <t>Accounts Receivable Parish Int</t>
  </si>
  <si>
    <t>Retiring Benefit returned</t>
  </si>
  <si>
    <t>Receipts - Prev. Year's Apport</t>
  </si>
  <si>
    <t>Baptismal Cert. Revenue</t>
  </si>
  <si>
    <t>Interfund Trust transfer</t>
  </si>
  <si>
    <t>Miscellaneous Revenue</t>
  </si>
  <si>
    <t>Renew Undesignated</t>
  </si>
  <si>
    <t>Capital Development Trust Rev</t>
  </si>
  <si>
    <t>Subtotal Revenue Gen Purpose</t>
  </si>
  <si>
    <t>For Specific Uses:</t>
  </si>
  <si>
    <t>Archdeacons Award Endowment</t>
  </si>
  <si>
    <t>Subtotal Revenue Specific</t>
  </si>
  <si>
    <t>Revenue Total</t>
  </si>
  <si>
    <t>NET EXPENSES</t>
  </si>
  <si>
    <t>Contributions to Deficit Red'n</t>
  </si>
  <si>
    <t>Deduct:</t>
  </si>
  <si>
    <t>Less Parish Apport'ments Rec'd</t>
  </si>
  <si>
    <t>Current Surplus(Deficit-)</t>
  </si>
  <si>
    <t>Provision Apport. Short Fall</t>
  </si>
  <si>
    <t>Surplus(Deficit-)</t>
  </si>
  <si>
    <t>to go to Accumulated Deficit</t>
  </si>
  <si>
    <t>2017 Actual</t>
  </si>
  <si>
    <t>2017  Surplus Reconcil.</t>
  </si>
  <si>
    <t>Actual 2017</t>
  </si>
  <si>
    <t>Building Mtce./security</t>
  </si>
  <si>
    <t>Template for Expend. Statement</t>
  </si>
  <si>
    <t>2018 Actual</t>
  </si>
  <si>
    <t>2018  Surplus Reconcil.</t>
  </si>
  <si>
    <t>2018 Apport. short</t>
  </si>
  <si>
    <t>2018 Provision</t>
  </si>
  <si>
    <t>2018Act.Net Exp.</t>
  </si>
  <si>
    <t>2018Bud.Net Exp.</t>
  </si>
  <si>
    <t>ACW Sustainability Trust Interest</t>
  </si>
  <si>
    <t>Enviro-Action-Soc. Justice</t>
  </si>
  <si>
    <t>ACW Sustainabilitiy Trust Interest</t>
  </si>
  <si>
    <t>Resource Development Subtotal</t>
  </si>
  <si>
    <t>2019 Budget</t>
  </si>
  <si>
    <t>Actual 2018</t>
  </si>
  <si>
    <t>2019 Actual</t>
  </si>
  <si>
    <t>2018 - as at April 29-19</t>
  </si>
  <si>
    <t>2019  Surplus Reconcil.</t>
  </si>
  <si>
    <t>2019 Apport. short</t>
  </si>
  <si>
    <t>2019 Provision</t>
  </si>
  <si>
    <t>2019Act.Net Exp.</t>
  </si>
  <si>
    <t>2019Bud.Net Exp.</t>
  </si>
  <si>
    <t>This total surplus does not incl. the Strd. Je added manually</t>
  </si>
  <si>
    <t xml:space="preserve">Church Camp surplus/(deficit) above is before </t>
  </si>
  <si>
    <t>trust transfer of revenue (which is incl. in the Diocese Interf-trust trsf. revenue)</t>
  </si>
  <si>
    <t>for 2016-2018</t>
  </si>
  <si>
    <t>2020 Budget</t>
  </si>
  <si>
    <t>2018 for and from Audit</t>
  </si>
  <si>
    <t>2018</t>
  </si>
  <si>
    <t>2019 as at 01-23-2020</t>
  </si>
  <si>
    <t>Actual 2019</t>
  </si>
  <si>
    <t>Budget 2020</t>
  </si>
  <si>
    <t>2020  Surplus Reconcil.</t>
  </si>
  <si>
    <t>2020 Apport. short</t>
  </si>
  <si>
    <t>2020 Provision</t>
  </si>
  <si>
    <t>2020Act.Net Exp.</t>
  </si>
  <si>
    <t>2020Bud.Net Exp.</t>
  </si>
  <si>
    <t>2020 Actual</t>
  </si>
  <si>
    <t>2020</t>
  </si>
  <si>
    <r>
      <t xml:space="preserve">Total surplus/(deficit) - </t>
    </r>
    <r>
      <rPr>
        <b/>
        <sz val="12.5"/>
        <rFont val="Californian FB"/>
        <family val="1"/>
      </rPr>
      <t>incl. HCC.</t>
    </r>
  </si>
  <si>
    <t>2021 Budget</t>
  </si>
  <si>
    <t xml:space="preserve"> @ 25% held rate </t>
  </si>
  <si>
    <t xml:space="preserve">                    budget resources committed to reduce </t>
  </si>
  <si>
    <t xml:space="preserve">2021 Basis of Apport't - (2019 Expenses) </t>
  </si>
  <si>
    <t xml:space="preserve">         reduction of Basis from prior yr.</t>
  </si>
  <si>
    <t>Expenditures</t>
  </si>
  <si>
    <t>Revenues</t>
  </si>
  <si>
    <t>Apportionment Provision</t>
  </si>
  <si>
    <t xml:space="preserve">    for shortfall</t>
  </si>
  <si>
    <t xml:space="preserve">     to churches</t>
  </si>
  <si>
    <t>% change in apportionment from prior budget</t>
  </si>
  <si>
    <t>Draft</t>
  </si>
  <si>
    <t>Budget</t>
  </si>
  <si>
    <t>$  change</t>
  </si>
  <si>
    <t>2021 - 2020</t>
  </si>
  <si>
    <t>Diocese of Huron 2021 Draft Budget Presentation</t>
  </si>
  <si>
    <t>2020 Projected</t>
  </si>
  <si>
    <t>Formula Check</t>
  </si>
  <si>
    <t>obsolete accounts?</t>
  </si>
  <si>
    <t>Employee Assess't 5.0%</t>
  </si>
  <si>
    <t xml:space="preserve">Less : Congreg. Cost  13.0%/Pens. Admin.Fnd  </t>
  </si>
  <si>
    <t>Financial Budget Summary</t>
  </si>
  <si>
    <t>(000's)</t>
  </si>
  <si>
    <t>2019 Act</t>
  </si>
  <si>
    <t>var. (Bud)</t>
  </si>
  <si>
    <t>2019 Bud</t>
  </si>
  <si>
    <t>2018 Act</t>
  </si>
  <si>
    <t xml:space="preserve">Diocesan </t>
  </si>
  <si>
    <t>Surplus</t>
  </si>
  <si>
    <t>Accum. Surplus</t>
  </si>
  <si>
    <t>2020 Bud</t>
  </si>
  <si>
    <t>2020 Proj</t>
  </si>
  <si>
    <t>2021 Bud</t>
  </si>
  <si>
    <t>Apportionment $</t>
  </si>
  <si>
    <t xml:space="preserve">          provis. shortfall</t>
  </si>
  <si>
    <t>Significant Budgetary Changes - 2021 over 2020:</t>
  </si>
  <si>
    <t>Budget 2021</t>
  </si>
  <si>
    <t>Proj.  2020</t>
  </si>
  <si>
    <t xml:space="preserve">        Revenues reflect funds from Huron trust incomes and other revenue. Of total increase, $44k is new income from Church Property Sale trusts.</t>
  </si>
  <si>
    <t>Financial results and 2021 Draft Budget</t>
  </si>
  <si>
    <r>
      <t xml:space="preserve">Draft budget reflects total apportionment to congregations of $3.1 mill, </t>
    </r>
    <r>
      <rPr>
        <sz val="14"/>
        <color indexed="10"/>
        <rFont val="Open Sans"/>
        <family val="2"/>
      </rPr>
      <t>a 1.1% decrease</t>
    </r>
    <r>
      <rPr>
        <sz val="14"/>
        <color indexed="8"/>
        <rFont val="Open Sans"/>
        <family val="2"/>
      </rPr>
      <t xml:space="preserve"> or $33k.</t>
    </r>
  </si>
  <si>
    <t xml:space="preserve">       a 0% cost-of-living allowance has been applied to salaries for 2021.</t>
  </si>
  <si>
    <t xml:space="preserve">      Con-Educ.'n costs of Church House are increasing $2k, Group benefit costs slight increasing $9k and Huron Pension Plan contrib. reduced $10k.</t>
  </si>
  <si>
    <t xml:space="preserve">       Salary costs increasing $19k through annualization of cost of new Bishop, some staff increased hours and step-increases.</t>
  </si>
  <si>
    <t>as at Oct. 30-20</t>
  </si>
  <si>
    <r>
      <rPr>
        <b/>
        <sz val="10"/>
        <rFont val="Californian FB"/>
        <family val="1"/>
      </rPr>
      <t>Oct. 30:</t>
    </r>
    <r>
      <rPr>
        <b/>
        <sz val="14"/>
        <rFont val="Californian FB"/>
        <family val="1"/>
      </rPr>
      <t xml:space="preserve"> Actual 2020</t>
    </r>
  </si>
  <si>
    <r>
      <rPr>
        <b/>
        <u val="single"/>
        <sz val="14"/>
        <color indexed="18"/>
        <rFont val="Open Sans"/>
        <family val="2"/>
      </rPr>
      <t>Provision for Apport. shortfall</t>
    </r>
    <r>
      <rPr>
        <b/>
        <sz val="14"/>
        <color indexed="18"/>
        <rFont val="Open Sans"/>
        <family val="2"/>
      </rPr>
      <t xml:space="preserve"> adding $5k in budget to $120k.</t>
    </r>
  </si>
  <si>
    <r>
      <rPr>
        <b/>
        <u val="single"/>
        <sz val="14"/>
        <color indexed="18"/>
        <rFont val="Open Sans"/>
        <family val="2"/>
      </rPr>
      <t>Diocesan expenditures</t>
    </r>
    <r>
      <rPr>
        <b/>
        <sz val="14"/>
        <color indexed="18"/>
        <rFont val="Open Sans"/>
        <family val="2"/>
      </rPr>
      <t xml:space="preserve"> slight increase of only $25k from 2020 budget.</t>
    </r>
  </si>
  <si>
    <r>
      <rPr>
        <b/>
        <u val="single"/>
        <sz val="14"/>
        <color indexed="18"/>
        <rFont val="Open Sans"/>
        <family val="2"/>
      </rPr>
      <t>Diocesan revenues</t>
    </r>
    <r>
      <rPr>
        <b/>
        <sz val="14"/>
        <color indexed="18"/>
        <rFont val="Open Sans"/>
        <family val="2"/>
      </rPr>
      <t xml:space="preserve"> - increase of $63k over 2020.</t>
    </r>
  </si>
  <si>
    <t>2019 reported congregation's apportionable expenses were $13.05 mill. Our budget ceiling criteria of 25% of this total cost is $3.26 mill.</t>
  </si>
  <si>
    <t>The 2021 budget total is $150k below our mandated budget ceiling criteria of $3.26 mill.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</si>
</sst>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_);\(0\)"/>
    <numFmt numFmtId="174" formatCode="0.00000%"/>
    <numFmt numFmtId="175" formatCode="0.0000%"/>
    <numFmt numFmtId="176" formatCode="#,##0.0_);\(#,##0.0\)"/>
    <numFmt numFmtId="177" formatCode="&quot;$&quot;#,##0.000_);\(&quot;$&quot;#,##0.000\)"/>
    <numFmt numFmtId="178" formatCode="0.000%"/>
    <numFmt numFmtId="179" formatCode="#,##0.000000_);\(#,##0.000000\)"/>
    <numFmt numFmtId="180" formatCode="#,##0.000_);\(#,##0.000\)"/>
    <numFmt numFmtId="181" formatCode="0.000"/>
    <numFmt numFmtId="182" formatCode="#,##0.00_ ;\-#,##0.00\ "/>
    <numFmt numFmtId="183" formatCode="#,##0.0_ ;\-#,##0.0\ "/>
    <numFmt numFmtId="184" formatCode="#,##0_ ;\-#,##0\ "/>
    <numFmt numFmtId="185" formatCode="[&lt;=9999999]###\-####;###\-###\-####"/>
    <numFmt numFmtId="186" formatCode="[$-1009]mmmm\-dd\-yy"/>
    <numFmt numFmtId="187" formatCode="[$-409]h:mm:ss\ AM/P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0000000"/>
    <numFmt numFmtId="193" formatCode="0_ ;\-0\ "/>
    <numFmt numFmtId="194" formatCode="#,##0.000_ ;\-#,##0.000\ "/>
  </numFmts>
  <fonts count="153">
    <font>
      <sz val="12"/>
      <name val="Helv"/>
      <family val="0"/>
    </font>
    <font>
      <sz val="10"/>
      <name val="Arial"/>
      <family val="0"/>
    </font>
    <font>
      <sz val="12"/>
      <name val="CG Times"/>
      <family val="1"/>
    </font>
    <font>
      <sz val="14"/>
      <name val="CG Times"/>
      <family val="1"/>
    </font>
    <font>
      <b/>
      <sz val="14"/>
      <name val="CG Times"/>
      <family val="1"/>
    </font>
    <font>
      <u val="single"/>
      <sz val="14"/>
      <name val="CG Times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CG Times"/>
      <family val="1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13"/>
      <name val="CG Times"/>
      <family val="1"/>
    </font>
    <font>
      <b/>
      <sz val="18"/>
      <name val="Californian FB"/>
      <family val="1"/>
    </font>
    <font>
      <b/>
      <sz val="14"/>
      <name val="Californian FB"/>
      <family val="1"/>
    </font>
    <font>
      <sz val="14"/>
      <name val="Californian FB"/>
      <family val="1"/>
    </font>
    <font>
      <sz val="15"/>
      <name val="CG Times"/>
      <family val="1"/>
    </font>
    <font>
      <u val="single"/>
      <sz val="15"/>
      <name val="CG Times"/>
      <family val="1"/>
    </font>
    <font>
      <b/>
      <sz val="15"/>
      <name val="CG Times"/>
      <family val="1"/>
    </font>
    <font>
      <sz val="10"/>
      <name val="CG Times"/>
      <family val="1"/>
    </font>
    <font>
      <b/>
      <sz val="18"/>
      <name val="Clarendon Condensed"/>
      <family val="1"/>
    </font>
    <font>
      <u val="single"/>
      <sz val="12"/>
      <name val="CG Times"/>
      <family val="1"/>
    </font>
    <font>
      <b/>
      <i/>
      <sz val="12"/>
      <name val="Helv"/>
      <family val="0"/>
    </font>
    <font>
      <b/>
      <i/>
      <sz val="12"/>
      <name val="Arial"/>
      <family val="2"/>
    </font>
    <font>
      <b/>
      <u val="single"/>
      <sz val="15"/>
      <name val="CG Times"/>
      <family val="1"/>
    </font>
    <font>
      <sz val="13"/>
      <name val="Californian FB"/>
      <family val="1"/>
    </font>
    <font>
      <b/>
      <sz val="8"/>
      <name val="Kartika"/>
      <family val="1"/>
    </font>
    <font>
      <b/>
      <sz val="12"/>
      <name val="CG Times"/>
      <family val="0"/>
    </font>
    <font>
      <b/>
      <sz val="13"/>
      <name val="Californian FB"/>
      <family val="1"/>
    </font>
    <font>
      <sz val="11"/>
      <name val="CG Times"/>
      <family val="1"/>
    </font>
    <font>
      <b/>
      <sz val="18"/>
      <name val="CG Times"/>
      <family val="1"/>
    </font>
    <font>
      <sz val="12"/>
      <name val="Calisto MT"/>
      <family val="1"/>
    </font>
    <font>
      <sz val="14"/>
      <name val="Calisto MT"/>
      <family val="1"/>
    </font>
    <font>
      <b/>
      <sz val="14"/>
      <name val="Calisto MT"/>
      <family val="1"/>
    </font>
    <font>
      <sz val="13"/>
      <name val="Calisto MT"/>
      <family val="1"/>
    </font>
    <font>
      <sz val="17"/>
      <name val="CG Times"/>
      <family val="1"/>
    </font>
    <font>
      <u val="single"/>
      <sz val="18"/>
      <name val="CG Times"/>
      <family val="1"/>
    </font>
    <font>
      <u val="single"/>
      <sz val="17"/>
      <name val="CG Times"/>
      <family val="1"/>
    </font>
    <font>
      <b/>
      <u val="single"/>
      <sz val="18"/>
      <name val="CG Times"/>
      <family val="1"/>
    </font>
    <font>
      <u val="single"/>
      <sz val="14"/>
      <name val="Calisto MT"/>
      <family val="1"/>
    </font>
    <font>
      <b/>
      <u val="single"/>
      <sz val="14"/>
      <name val="CG Times"/>
      <family val="1"/>
    </font>
    <font>
      <b/>
      <u val="single"/>
      <sz val="14"/>
      <name val="Calisto MT"/>
      <family val="1"/>
    </font>
    <font>
      <sz val="11"/>
      <name val="Californian FB"/>
      <family val="1"/>
    </font>
    <font>
      <b/>
      <sz val="11"/>
      <name val="Californian FB"/>
      <family val="1"/>
    </font>
    <font>
      <b/>
      <sz val="12.5"/>
      <name val="Californian FB"/>
      <family val="1"/>
    </font>
    <font>
      <sz val="12"/>
      <name val="Open Sans"/>
      <family val="2"/>
    </font>
    <font>
      <sz val="11"/>
      <name val="Open Sans"/>
      <family val="2"/>
    </font>
    <font>
      <b/>
      <sz val="11"/>
      <name val="Open Sans"/>
      <family val="2"/>
    </font>
    <font>
      <sz val="14"/>
      <name val="Open Sans"/>
      <family val="2"/>
    </font>
    <font>
      <b/>
      <i/>
      <sz val="10"/>
      <name val="Open Sans"/>
      <family val="2"/>
    </font>
    <font>
      <sz val="13"/>
      <name val="Open Sans"/>
      <family val="2"/>
    </font>
    <font>
      <b/>
      <i/>
      <sz val="14"/>
      <name val="Calisto MT"/>
      <family val="1"/>
    </font>
    <font>
      <b/>
      <sz val="12"/>
      <name val="Helv"/>
      <family val="0"/>
    </font>
    <font>
      <b/>
      <sz val="11"/>
      <name val="CG Times"/>
      <family val="1"/>
    </font>
    <font>
      <b/>
      <sz val="12"/>
      <name val="Open Sans"/>
      <family val="2"/>
    </font>
    <font>
      <b/>
      <sz val="15"/>
      <name val="Open Sans"/>
      <family val="2"/>
    </font>
    <font>
      <sz val="14"/>
      <color indexed="8"/>
      <name val="Open Sans"/>
      <family val="2"/>
    </font>
    <font>
      <sz val="14"/>
      <color indexed="10"/>
      <name val="Open Sans"/>
      <family val="2"/>
    </font>
    <font>
      <b/>
      <sz val="10"/>
      <name val="Californian FB"/>
      <family val="1"/>
    </font>
    <font>
      <b/>
      <sz val="14"/>
      <color indexed="18"/>
      <name val="Open Sans"/>
      <family val="2"/>
    </font>
    <font>
      <b/>
      <u val="single"/>
      <sz val="14"/>
      <color indexed="18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sz val="14"/>
      <color indexed="8"/>
      <name val="Calisto MT"/>
      <family val="1"/>
    </font>
    <font>
      <b/>
      <sz val="12"/>
      <color indexed="10"/>
      <name val="Calisto MT"/>
      <family val="1"/>
    </font>
    <font>
      <sz val="10"/>
      <color indexed="8"/>
      <name val="Arial"/>
      <family val="2"/>
    </font>
    <font>
      <sz val="14"/>
      <color indexed="10"/>
      <name val="Calisto MT"/>
      <family val="1"/>
    </font>
    <font>
      <b/>
      <sz val="14"/>
      <color indexed="10"/>
      <name val="CG Times"/>
      <family val="0"/>
    </font>
    <font>
      <sz val="12"/>
      <color indexed="8"/>
      <name val="Arial"/>
      <family val="2"/>
    </font>
    <font>
      <b/>
      <sz val="13"/>
      <color indexed="10"/>
      <name val="CG Times"/>
      <family val="0"/>
    </font>
    <font>
      <b/>
      <u val="single"/>
      <sz val="14"/>
      <color indexed="10"/>
      <name val="Calisto MT"/>
      <family val="1"/>
    </font>
    <font>
      <b/>
      <sz val="14"/>
      <color indexed="10"/>
      <name val="Calisto MT"/>
      <family val="1"/>
    </font>
    <font>
      <sz val="12"/>
      <color indexed="8"/>
      <name val="Cambria"/>
      <family val="1"/>
    </font>
    <font>
      <b/>
      <sz val="12"/>
      <color indexed="10"/>
      <name val="CG Times"/>
      <family val="0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u val="single"/>
      <sz val="12"/>
      <color indexed="8"/>
      <name val="Open Sans"/>
      <family val="2"/>
    </font>
    <font>
      <sz val="15"/>
      <color indexed="8"/>
      <name val="Open Sans"/>
      <family val="2"/>
    </font>
    <font>
      <sz val="19"/>
      <color indexed="8"/>
      <name val="Open Sans"/>
      <family val="2"/>
    </font>
    <font>
      <b/>
      <sz val="15"/>
      <color indexed="8"/>
      <name val="Open Sans"/>
      <family val="2"/>
    </font>
    <font>
      <sz val="16"/>
      <color indexed="8"/>
      <name val="Open Sans"/>
      <family val="2"/>
    </font>
    <font>
      <sz val="13.5"/>
      <color indexed="8"/>
      <name val="Open Sans"/>
      <family val="2"/>
    </font>
    <font>
      <u val="single"/>
      <sz val="14"/>
      <color indexed="8"/>
      <name val="Open Sans"/>
      <family val="2"/>
    </font>
    <font>
      <sz val="14.5"/>
      <color indexed="8"/>
      <name val="Open Sans"/>
      <family val="2"/>
    </font>
    <font>
      <b/>
      <sz val="19"/>
      <color indexed="62"/>
      <name val="Open Sans"/>
      <family val="2"/>
    </font>
    <font>
      <b/>
      <u val="single"/>
      <sz val="15.5"/>
      <color indexed="62"/>
      <name val="Open Sans"/>
      <family val="2"/>
    </font>
    <font>
      <sz val="12"/>
      <color indexed="17"/>
      <name val="CG Times"/>
      <family val="1"/>
    </font>
    <font>
      <b/>
      <sz val="14"/>
      <color indexed="17"/>
      <name val="Calisto MT"/>
      <family val="1"/>
    </font>
    <font>
      <b/>
      <sz val="11"/>
      <color indexed="10"/>
      <name val="Open Sans"/>
      <family val="2"/>
    </font>
    <font>
      <b/>
      <sz val="15"/>
      <color indexed="10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sto MT"/>
      <family val="1"/>
    </font>
    <font>
      <b/>
      <sz val="12"/>
      <color rgb="FFFF0000"/>
      <name val="Calisto MT"/>
      <family val="1"/>
    </font>
    <font>
      <sz val="10"/>
      <color theme="1"/>
      <name val="Arial"/>
      <family val="2"/>
    </font>
    <font>
      <sz val="14"/>
      <color rgb="FFFF0000"/>
      <name val="Calisto MT"/>
      <family val="1"/>
    </font>
    <font>
      <b/>
      <sz val="14"/>
      <color rgb="FFFF0000"/>
      <name val="CG Times"/>
      <family val="0"/>
    </font>
    <font>
      <sz val="12"/>
      <color theme="1"/>
      <name val="Arial"/>
      <family val="2"/>
    </font>
    <font>
      <b/>
      <sz val="13"/>
      <color rgb="FFFF0000"/>
      <name val="CG Times"/>
      <family val="0"/>
    </font>
    <font>
      <b/>
      <u val="single"/>
      <sz val="14"/>
      <color rgb="FFFF0000"/>
      <name val="Calisto MT"/>
      <family val="1"/>
    </font>
    <font>
      <b/>
      <sz val="14"/>
      <color rgb="FFFF0000"/>
      <name val="Calisto MT"/>
      <family val="1"/>
    </font>
    <font>
      <sz val="12"/>
      <color theme="1"/>
      <name val="Cambria"/>
      <family val="1"/>
    </font>
    <font>
      <b/>
      <sz val="12"/>
      <color rgb="FFFF0000"/>
      <name val="CG Times"/>
      <family val="0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4"/>
      <color theme="1"/>
      <name val="Open Sans"/>
      <family val="2"/>
    </font>
    <font>
      <u val="single"/>
      <sz val="12"/>
      <color theme="1"/>
      <name val="Open Sans"/>
      <family val="2"/>
    </font>
    <font>
      <sz val="15"/>
      <color theme="1"/>
      <name val="Open Sans"/>
      <family val="2"/>
    </font>
    <font>
      <sz val="19"/>
      <color theme="1"/>
      <name val="Open Sans"/>
      <family val="2"/>
    </font>
    <font>
      <b/>
      <sz val="15"/>
      <color theme="1"/>
      <name val="Open Sans"/>
      <family val="2"/>
    </font>
    <font>
      <sz val="16"/>
      <color theme="1"/>
      <name val="Open Sans"/>
      <family val="2"/>
    </font>
    <font>
      <sz val="13.5"/>
      <color theme="1"/>
      <name val="Open Sans"/>
      <family val="2"/>
    </font>
    <font>
      <u val="single"/>
      <sz val="14"/>
      <color theme="1"/>
      <name val="Open Sans"/>
      <family val="2"/>
    </font>
    <font>
      <sz val="14.5"/>
      <color theme="1"/>
      <name val="Open Sans"/>
      <family val="2"/>
    </font>
    <font>
      <sz val="14"/>
      <color rgb="FFFF0000"/>
      <name val="Open Sans"/>
      <family val="2"/>
    </font>
    <font>
      <b/>
      <sz val="19"/>
      <color theme="4"/>
      <name val="Open Sans"/>
      <family val="2"/>
    </font>
    <font>
      <b/>
      <u val="single"/>
      <sz val="15.5"/>
      <color theme="4"/>
      <name val="Open Sans"/>
      <family val="2"/>
    </font>
    <font>
      <sz val="12"/>
      <color rgb="FF00B050"/>
      <name val="CG Times"/>
      <family val="1"/>
    </font>
    <font>
      <b/>
      <sz val="14"/>
      <color rgb="FF00B050"/>
      <name val="Calisto MT"/>
      <family val="1"/>
    </font>
    <font>
      <b/>
      <sz val="11"/>
      <color rgb="FFFF0000"/>
      <name val="Open Sans"/>
      <family val="2"/>
    </font>
    <font>
      <b/>
      <sz val="15"/>
      <color rgb="FFFF0000"/>
      <name val="Open Sans"/>
      <family val="2"/>
    </font>
    <font>
      <b/>
      <sz val="14"/>
      <color theme="4" tint="-0.4999699890613556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0" applyNumberFormat="0" applyBorder="0" applyAlignment="0" applyProtection="0"/>
    <xf numFmtId="0" fontId="109" fillId="27" borderId="1" applyNumberFormat="0" applyAlignment="0" applyProtection="0"/>
    <xf numFmtId="0" fontId="11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6" fillId="30" borderId="1" applyNumberFormat="0" applyAlignment="0" applyProtection="0"/>
    <xf numFmtId="0" fontId="117" fillId="0" borderId="6" applyNumberFormat="0" applyFill="0" applyAlignment="0" applyProtection="0"/>
    <xf numFmtId="0" fontId="11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32" borderId="7" applyNumberFormat="0" applyFont="0" applyAlignment="0" applyProtection="0"/>
    <xf numFmtId="0" fontId="119" fillId="27" borderId="8" applyNumberFormat="0" applyAlignment="0" applyProtection="0"/>
    <xf numFmtId="9" fontId="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</cellStyleXfs>
  <cellXfs count="378">
    <xf numFmtId="37" fontId="0" fillId="0" borderId="0" xfId="0" applyAlignment="1">
      <alignment/>
    </xf>
    <xf numFmtId="37" fontId="9" fillId="0" borderId="0" xfId="0" applyNumberFormat="1" applyFont="1" applyAlignment="1" applyProtection="1" quotePrefix="1">
      <alignment/>
      <protection/>
    </xf>
    <xf numFmtId="37" fontId="3" fillId="0" borderId="0" xfId="0" applyNumberFormat="1" applyFont="1" applyAlignment="1" applyProtection="1" quotePrefix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2" fillId="0" borderId="0" xfId="0" applyFont="1" applyAlignment="1">
      <alignment/>
    </xf>
    <xf numFmtId="37" fontId="17" fillId="0" borderId="0" xfId="0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37" fontId="17" fillId="0" borderId="0" xfId="0" applyFont="1" applyBorder="1" applyAlignment="1">
      <alignment/>
    </xf>
    <xf numFmtId="37" fontId="17" fillId="0" borderId="0" xfId="0" applyNumberFormat="1" applyFont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/>
    </xf>
    <xf numFmtId="37" fontId="17" fillId="0" borderId="0" xfId="0" applyNumberFormat="1" applyFont="1" applyAlignment="1" applyProtection="1">
      <alignment horizontal="right"/>
      <protection/>
    </xf>
    <xf numFmtId="37" fontId="3" fillId="0" borderId="0" xfId="0" applyFont="1" applyAlignment="1">
      <alignment horizontal="right"/>
    </xf>
    <xf numFmtId="37" fontId="17" fillId="0" borderId="0" xfId="0" applyNumberFormat="1" applyFont="1" applyAlignment="1" applyProtection="1">
      <alignment/>
      <protection/>
    </xf>
    <xf numFmtId="37" fontId="18" fillId="0" borderId="0" xfId="0" applyFont="1" applyAlignment="1">
      <alignment/>
    </xf>
    <xf numFmtId="37" fontId="18" fillId="0" borderId="10" xfId="0" applyFont="1" applyBorder="1" applyAlignment="1">
      <alignment/>
    </xf>
    <xf numFmtId="37" fontId="18" fillId="0" borderId="10" xfId="0" applyNumberFormat="1" applyFont="1" applyBorder="1" applyAlignment="1" applyProtection="1">
      <alignment/>
      <protection/>
    </xf>
    <xf numFmtId="37" fontId="4" fillId="0" borderId="11" xfId="0" applyFont="1" applyBorder="1" applyAlignment="1">
      <alignment horizontal="center" wrapText="1"/>
    </xf>
    <xf numFmtId="37" fontId="18" fillId="0" borderId="12" xfId="0" applyFont="1" applyBorder="1" applyAlignment="1">
      <alignment/>
    </xf>
    <xf numFmtId="37" fontId="19" fillId="0" borderId="0" xfId="0" applyFont="1" applyAlignment="1">
      <alignment/>
    </xf>
    <xf numFmtId="37" fontId="20" fillId="0" borderId="0" xfId="0" applyFont="1" applyAlignment="1">
      <alignment/>
    </xf>
    <xf numFmtId="37" fontId="19" fillId="0" borderId="11" xfId="0" applyFont="1" applyBorder="1" applyAlignment="1">
      <alignment wrapText="1"/>
    </xf>
    <xf numFmtId="37" fontId="16" fillId="0" borderId="10" xfId="0" applyFont="1" applyBorder="1" applyAlignment="1">
      <alignment/>
    </xf>
    <xf numFmtId="37" fontId="16" fillId="0" borderId="10" xfId="0" applyNumberFormat="1" applyFont="1" applyBorder="1" applyAlignment="1" applyProtection="1">
      <alignment/>
      <protection/>
    </xf>
    <xf numFmtId="37" fontId="16" fillId="0" borderId="10" xfId="0" applyNumberFormat="1" applyFont="1" applyBorder="1" applyAlignment="1" applyProtection="1">
      <alignment/>
      <protection/>
    </xf>
    <xf numFmtId="37" fontId="2" fillId="0" borderId="0" xfId="0" applyFont="1" applyAlignment="1" quotePrefix="1">
      <alignment/>
    </xf>
    <xf numFmtId="37" fontId="3" fillId="0" borderId="0" xfId="0" applyFont="1" applyAlignment="1">
      <alignment/>
    </xf>
    <xf numFmtId="37" fontId="12" fillId="0" borderId="0" xfId="0" applyFont="1" applyAlignment="1">
      <alignment horizontal="right"/>
    </xf>
    <xf numFmtId="0" fontId="14" fillId="0" borderId="13" xfId="0" applyNumberFormat="1" applyFont="1" applyBorder="1" applyAlignment="1">
      <alignment horizontal="center"/>
    </xf>
    <xf numFmtId="0" fontId="15" fillId="0" borderId="0" xfId="0" applyNumberFormat="1" applyFont="1" applyAlignment="1">
      <alignment/>
    </xf>
    <xf numFmtId="0" fontId="78" fillId="0" borderId="0" xfId="0" applyNumberFormat="1" applyFont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37" fontId="18" fillId="0" borderId="15" xfId="0" applyFont="1" applyBorder="1" applyAlignment="1">
      <alignment/>
    </xf>
    <xf numFmtId="37" fontId="6" fillId="0" borderId="14" xfId="0" applyNumberFormat="1" applyFont="1" applyBorder="1" applyAlignment="1">
      <alignment/>
    </xf>
    <xf numFmtId="37" fontId="18" fillId="0" borderId="15" xfId="0" applyNumberFormat="1" applyFont="1" applyBorder="1" applyAlignment="1" applyProtection="1">
      <alignment/>
      <protection/>
    </xf>
    <xf numFmtId="0" fontId="0" fillId="0" borderId="16" xfId="0" applyNumberFormat="1" applyBorder="1" applyAlignment="1">
      <alignment/>
    </xf>
    <xf numFmtId="37" fontId="6" fillId="0" borderId="16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37" fontId="3" fillId="0" borderId="17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>
      <alignment/>
    </xf>
    <xf numFmtId="37" fontId="3" fillId="0" borderId="18" xfId="0" applyNumberFormat="1" applyFont="1" applyBorder="1" applyAlignment="1" applyProtection="1">
      <alignment horizontal="right"/>
      <protection/>
    </xf>
    <xf numFmtId="0" fontId="0" fillId="0" borderId="13" xfId="0" applyNumberFormat="1" applyBorder="1" applyAlignment="1">
      <alignment/>
    </xf>
    <xf numFmtId="37" fontId="6" fillId="0" borderId="13" xfId="0" applyNumberFormat="1" applyFont="1" applyBorder="1" applyAlignment="1">
      <alignment/>
    </xf>
    <xf numFmtId="0" fontId="22" fillId="0" borderId="0" xfId="0" applyNumberFormat="1" applyFont="1" applyAlignment="1">
      <alignment horizontal="center"/>
    </xf>
    <xf numFmtId="37" fontId="23" fillId="0" borderId="14" xfId="0" applyNumberFormat="1" applyFont="1" applyBorder="1" applyAlignment="1">
      <alignment/>
    </xf>
    <xf numFmtId="0" fontId="23" fillId="0" borderId="16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37" fontId="23" fillId="0" borderId="13" xfId="0" applyNumberFormat="1" applyFont="1" applyBorder="1" applyAlignment="1">
      <alignment/>
    </xf>
    <xf numFmtId="37" fontId="23" fillId="0" borderId="0" xfId="0" applyNumberFormat="1" applyFont="1" applyAlignment="1">
      <alignment/>
    </xf>
    <xf numFmtId="37" fontId="3" fillId="0" borderId="17" xfId="0" applyFont="1" applyBorder="1" applyAlignment="1">
      <alignment horizontal="right"/>
    </xf>
    <xf numFmtId="37" fontId="24" fillId="0" borderId="19" xfId="0" applyFont="1" applyBorder="1" applyAlignment="1">
      <alignment/>
    </xf>
    <xf numFmtId="37" fontId="24" fillId="0" borderId="19" xfId="0" applyNumberFormat="1" applyFont="1" applyBorder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37" fontId="24" fillId="0" borderId="19" xfId="0" applyNumberFormat="1" applyFont="1" applyBorder="1" applyAlignment="1" applyProtection="1">
      <alignment/>
      <protection/>
    </xf>
    <xf numFmtId="0" fontId="15" fillId="0" borderId="17" xfId="0" applyNumberFormat="1" applyFont="1" applyBorder="1" applyAlignment="1">
      <alignment horizontal="right"/>
    </xf>
    <xf numFmtId="37" fontId="23" fillId="0" borderId="0" xfId="0" applyNumberFormat="1" applyFont="1" applyBorder="1" applyAlignment="1">
      <alignment/>
    </xf>
    <xf numFmtId="0" fontId="25" fillId="0" borderId="0" xfId="0" applyNumberFormat="1" applyFont="1" applyBorder="1" applyAlignment="1" quotePrefix="1">
      <alignment/>
    </xf>
    <xf numFmtId="0" fontId="14" fillId="0" borderId="20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37" fontId="8" fillId="0" borderId="21" xfId="0" applyNumberFormat="1" applyFont="1" applyBorder="1" applyAlignment="1">
      <alignment/>
    </xf>
    <xf numFmtId="37" fontId="23" fillId="0" borderId="21" xfId="0" applyNumberFormat="1" applyFont="1" applyBorder="1" applyAlignment="1">
      <alignment/>
    </xf>
    <xf numFmtId="0" fontId="24" fillId="0" borderId="19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0" fontId="14" fillId="0" borderId="13" xfId="0" applyNumberFormat="1" applyFont="1" applyBorder="1" applyAlignment="1">
      <alignment horizontal="center" wrapText="1"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37" fontId="7" fillId="0" borderId="0" xfId="0" applyNumberFormat="1" applyFont="1" applyAlignment="1" quotePrefix="1">
      <alignment/>
    </xf>
    <xf numFmtId="37" fontId="23" fillId="0" borderId="16" xfId="0" applyNumberFormat="1" applyFont="1" applyBorder="1" applyAlignment="1">
      <alignment/>
    </xf>
    <xf numFmtId="37" fontId="16" fillId="0" borderId="17" xfId="0" applyFont="1" applyBorder="1" applyAlignment="1">
      <alignment horizontal="right"/>
    </xf>
    <xf numFmtId="0" fontId="14" fillId="0" borderId="20" xfId="0" applyNumberFormat="1" applyFont="1" applyBorder="1" applyAlignment="1">
      <alignment horizontal="left"/>
    </xf>
    <xf numFmtId="37" fontId="6" fillId="0" borderId="21" xfId="0" applyNumberFormat="1" applyFont="1" applyBorder="1" applyAlignment="1">
      <alignment/>
    </xf>
    <xf numFmtId="37" fontId="21" fillId="0" borderId="0" xfId="0" applyFont="1" applyBorder="1" applyAlignment="1">
      <alignment/>
    </xf>
    <xf numFmtId="37" fontId="2" fillId="0" borderId="0" xfId="0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Alignment="1">
      <alignment/>
    </xf>
    <xf numFmtId="37" fontId="23" fillId="0" borderId="22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 wrapText="1"/>
    </xf>
    <xf numFmtId="37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 quotePrefix="1">
      <alignment/>
    </xf>
    <xf numFmtId="0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 quotePrefix="1">
      <alignment/>
    </xf>
    <xf numFmtId="0" fontId="26" fillId="0" borderId="0" xfId="0" applyNumberFormat="1" applyFont="1" applyAlignment="1">
      <alignment horizontal="center"/>
    </xf>
    <xf numFmtId="37" fontId="12" fillId="0" borderId="0" xfId="0" applyFont="1" applyAlignment="1">
      <alignment/>
    </xf>
    <xf numFmtId="37" fontId="2" fillId="0" borderId="23" xfId="0" applyFont="1" applyBorder="1" applyAlignment="1">
      <alignment/>
    </xf>
    <xf numFmtId="37" fontId="2" fillId="0" borderId="24" xfId="0" applyFont="1" applyBorder="1" applyAlignment="1">
      <alignment/>
    </xf>
    <xf numFmtId="37" fontId="2" fillId="0" borderId="25" xfId="0" applyFont="1" applyBorder="1" applyAlignment="1">
      <alignment/>
    </xf>
    <xf numFmtId="37" fontId="2" fillId="0" borderId="26" xfId="0" applyFont="1" applyBorder="1" applyAlignment="1" quotePrefix="1">
      <alignment/>
    </xf>
    <xf numFmtId="37" fontId="2" fillId="0" borderId="27" xfId="0" applyFont="1" applyBorder="1" applyAlignment="1" quotePrefix="1">
      <alignment/>
    </xf>
    <xf numFmtId="37" fontId="2" fillId="0" borderId="27" xfId="0" applyFont="1" applyBorder="1" applyAlignment="1">
      <alignment/>
    </xf>
    <xf numFmtId="37" fontId="2" fillId="0" borderId="28" xfId="0" applyFont="1" applyBorder="1" applyAlignment="1">
      <alignment/>
    </xf>
    <xf numFmtId="37" fontId="28" fillId="0" borderId="0" xfId="0" applyFont="1" applyAlignment="1">
      <alignment/>
    </xf>
    <xf numFmtId="37" fontId="2" fillId="0" borderId="29" xfId="0" applyFont="1" applyBorder="1" applyAlignment="1">
      <alignment/>
    </xf>
    <xf numFmtId="37" fontId="2" fillId="0" borderId="30" xfId="0" applyFont="1" applyBorder="1" applyAlignment="1">
      <alignment/>
    </xf>
    <xf numFmtId="37" fontId="27" fillId="0" borderId="31" xfId="0" applyFont="1" applyBorder="1" applyAlignment="1">
      <alignment/>
    </xf>
    <xf numFmtId="184" fontId="23" fillId="0" borderId="0" xfId="0" applyNumberFormat="1" applyFont="1" applyBorder="1" applyAlignment="1">
      <alignment/>
    </xf>
    <xf numFmtId="184" fontId="23" fillId="0" borderId="0" xfId="0" applyNumberFormat="1" applyFont="1" applyAlignment="1">
      <alignment/>
    </xf>
    <xf numFmtId="37" fontId="27" fillId="0" borderId="0" xfId="0" applyFont="1" applyAlignment="1">
      <alignment/>
    </xf>
    <xf numFmtId="37" fontId="29" fillId="0" borderId="0" xfId="0" applyFont="1" applyAlignment="1">
      <alignment/>
    </xf>
    <xf numFmtId="37" fontId="2" fillId="0" borderId="0" xfId="0" applyFont="1" applyAlignment="1">
      <alignment horizontal="right"/>
    </xf>
    <xf numFmtId="37" fontId="2" fillId="0" borderId="0" xfId="0" applyFont="1" applyBorder="1" applyAlignment="1" quotePrefix="1">
      <alignment/>
    </xf>
    <xf numFmtId="37" fontId="2" fillId="0" borderId="0" xfId="0" applyFont="1" applyBorder="1" applyAlignment="1">
      <alignment/>
    </xf>
    <xf numFmtId="37" fontId="2" fillId="0" borderId="32" xfId="0" applyFont="1" applyBorder="1" applyAlignment="1">
      <alignment/>
    </xf>
    <xf numFmtId="37" fontId="28" fillId="0" borderId="0" xfId="0" applyFont="1" applyBorder="1" applyAlignment="1">
      <alignment/>
    </xf>
    <xf numFmtId="184" fontId="2" fillId="0" borderId="0" xfId="0" applyNumberFormat="1" applyFont="1" applyAlignment="1">
      <alignment/>
    </xf>
    <xf numFmtId="37" fontId="31" fillId="0" borderId="0" xfId="0" applyFont="1" applyAlignment="1">
      <alignment/>
    </xf>
    <xf numFmtId="184" fontId="31" fillId="0" borderId="0" xfId="0" applyNumberFormat="1" applyFont="1" applyAlignment="1">
      <alignment/>
    </xf>
    <xf numFmtId="37" fontId="32" fillId="0" borderId="0" xfId="0" applyFont="1" applyAlignment="1">
      <alignment/>
    </xf>
    <xf numFmtId="37" fontId="32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37" fontId="33" fillId="0" borderId="10" xfId="0" applyNumberFormat="1" applyFont="1" applyBorder="1" applyAlignment="1">
      <alignment/>
    </xf>
    <xf numFmtId="37" fontId="31" fillId="0" borderId="10" xfId="0" applyFont="1" applyBorder="1" applyAlignment="1">
      <alignment/>
    </xf>
    <xf numFmtId="184" fontId="33" fillId="0" borderId="10" xfId="0" applyNumberFormat="1" applyFont="1" applyBorder="1" applyAlignment="1">
      <alignment/>
    </xf>
    <xf numFmtId="37" fontId="32" fillId="0" borderId="0" xfId="0" applyNumberFormat="1" applyFont="1" applyFill="1" applyAlignment="1">
      <alignment/>
    </xf>
    <xf numFmtId="37" fontId="31" fillId="0" borderId="0" xfId="0" applyFont="1" applyBorder="1" applyAlignment="1">
      <alignment/>
    </xf>
    <xf numFmtId="184" fontId="32" fillId="0" borderId="0" xfId="0" applyNumberFormat="1" applyFont="1" applyBorder="1" applyAlignment="1">
      <alignment/>
    </xf>
    <xf numFmtId="37" fontId="32" fillId="0" borderId="0" xfId="0" applyFont="1" applyBorder="1" applyAlignment="1">
      <alignment/>
    </xf>
    <xf numFmtId="184" fontId="123" fillId="0" borderId="0" xfId="0" applyNumberFormat="1" applyFont="1" applyAlignment="1">
      <alignment horizontal="right"/>
    </xf>
    <xf numFmtId="184" fontId="32" fillId="0" borderId="0" xfId="0" applyNumberFormat="1" applyFont="1" applyFill="1" applyAlignment="1">
      <alignment/>
    </xf>
    <xf numFmtId="37" fontId="32" fillId="0" borderId="0" xfId="0" applyNumberFormat="1" applyFont="1" applyBorder="1" applyAlignment="1">
      <alignment/>
    </xf>
    <xf numFmtId="37" fontId="33" fillId="0" borderId="14" xfId="0" applyNumberFormat="1" applyFont="1" applyBorder="1" applyAlignment="1">
      <alignment/>
    </xf>
    <xf numFmtId="184" fontId="33" fillId="0" borderId="14" xfId="0" applyNumberFormat="1" applyFont="1" applyBorder="1" applyAlignment="1">
      <alignment/>
    </xf>
    <xf numFmtId="37" fontId="32" fillId="0" borderId="14" xfId="0" applyNumberFormat="1" applyFont="1" applyBorder="1" applyAlignment="1">
      <alignment/>
    </xf>
    <xf numFmtId="37" fontId="33" fillId="0" borderId="16" xfId="0" applyNumberFormat="1" applyFont="1" applyBorder="1" applyAlignment="1">
      <alignment/>
    </xf>
    <xf numFmtId="184" fontId="33" fillId="0" borderId="16" xfId="0" applyNumberFormat="1" applyFont="1" applyBorder="1" applyAlignment="1">
      <alignment/>
    </xf>
    <xf numFmtId="37" fontId="33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37" fontId="33" fillId="0" borderId="12" xfId="0" applyNumberFormat="1" applyFont="1" applyBorder="1" applyAlignment="1">
      <alignment/>
    </xf>
    <xf numFmtId="37" fontId="31" fillId="0" borderId="12" xfId="0" applyFont="1" applyBorder="1" applyAlignment="1">
      <alignment/>
    </xf>
    <xf numFmtId="184" fontId="33" fillId="0" borderId="12" xfId="0" applyNumberFormat="1" applyFont="1" applyBorder="1" applyAlignment="1">
      <alignment/>
    </xf>
    <xf numFmtId="37" fontId="124" fillId="0" borderId="10" xfId="0" applyFont="1" applyBorder="1" applyAlignment="1">
      <alignment/>
    </xf>
    <xf numFmtId="37" fontId="32" fillId="0" borderId="10" xfId="0" applyFont="1" applyBorder="1" applyAlignment="1">
      <alignment/>
    </xf>
    <xf numFmtId="184" fontId="123" fillId="0" borderId="10" xfId="0" applyNumberFormat="1" applyFont="1" applyBorder="1" applyAlignment="1">
      <alignment horizontal="right"/>
    </xf>
    <xf numFmtId="37" fontId="34" fillId="0" borderId="0" xfId="0" applyFont="1" applyAlignment="1">
      <alignment/>
    </xf>
    <xf numFmtId="37" fontId="124" fillId="0" borderId="0" xfId="0" applyFont="1" applyBorder="1" applyAlignment="1">
      <alignment/>
    </xf>
    <xf numFmtId="37" fontId="4" fillId="0" borderId="33" xfId="0" applyFont="1" applyBorder="1" applyAlignment="1">
      <alignment horizontal="center" wrapText="1"/>
    </xf>
    <xf numFmtId="184" fontId="33" fillId="0" borderId="13" xfId="0" applyNumberFormat="1" applyFont="1" applyBorder="1" applyAlignment="1">
      <alignment/>
    </xf>
    <xf numFmtId="184" fontId="33" fillId="0" borderId="0" xfId="0" applyNumberFormat="1" applyFont="1" applyBorder="1" applyAlignment="1">
      <alignment/>
    </xf>
    <xf numFmtId="49" fontId="125" fillId="0" borderId="0" xfId="0" applyNumberFormat="1" applyFont="1" applyAlignment="1">
      <alignment horizontal="left"/>
    </xf>
    <xf numFmtId="39" fontId="125" fillId="0" borderId="0" xfId="0" applyNumberFormat="1" applyFont="1" applyAlignment="1">
      <alignment horizontal="right"/>
    </xf>
    <xf numFmtId="184" fontId="126" fillId="0" borderId="0" xfId="0" applyNumberFormat="1" applyFont="1" applyAlignment="1">
      <alignment/>
    </xf>
    <xf numFmtId="184" fontId="126" fillId="0" borderId="0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23" fillId="0" borderId="0" xfId="0" applyNumberFormat="1" applyFont="1" applyAlignment="1">
      <alignment horizontal="left"/>
    </xf>
    <xf numFmtId="39" fontId="123" fillId="0" borderId="0" xfId="0" applyNumberFormat="1" applyFont="1" applyAlignment="1">
      <alignment horizontal="right"/>
    </xf>
    <xf numFmtId="49" fontId="123" fillId="0" borderId="13" xfId="0" applyNumberFormat="1" applyFont="1" applyBorder="1" applyAlignment="1">
      <alignment horizontal="left"/>
    </xf>
    <xf numFmtId="39" fontId="123" fillId="0" borderId="13" xfId="0" applyNumberFormat="1" applyFont="1" applyBorder="1" applyAlignment="1">
      <alignment horizontal="right"/>
    </xf>
    <xf numFmtId="39" fontId="123" fillId="0" borderId="34" xfId="0" applyNumberFormat="1" applyFont="1" applyBorder="1" applyAlignment="1">
      <alignment horizontal="right"/>
    </xf>
    <xf numFmtId="37" fontId="32" fillId="33" borderId="0" xfId="0" applyFont="1" applyFill="1" applyAlignment="1">
      <alignment/>
    </xf>
    <xf numFmtId="49" fontId="125" fillId="0" borderId="13" xfId="0" applyNumberFormat="1" applyFont="1" applyBorder="1" applyAlignment="1">
      <alignment horizontal="left"/>
    </xf>
    <xf numFmtId="39" fontId="125" fillId="0" borderId="13" xfId="0" applyNumberFormat="1" applyFont="1" applyBorder="1" applyAlignment="1">
      <alignment horizontal="right"/>
    </xf>
    <xf numFmtId="39" fontId="125" fillId="0" borderId="34" xfId="0" applyNumberFormat="1" applyFont="1" applyBorder="1" applyAlignment="1">
      <alignment horizontal="right"/>
    </xf>
    <xf numFmtId="182" fontId="32" fillId="33" borderId="0" xfId="0" applyNumberFormat="1" applyFont="1" applyFill="1" applyAlignment="1">
      <alignment/>
    </xf>
    <xf numFmtId="37" fontId="3" fillId="0" borderId="0" xfId="0" applyFont="1" applyBorder="1" applyAlignment="1">
      <alignment/>
    </xf>
    <xf numFmtId="37" fontId="2" fillId="0" borderId="0" xfId="0" applyFont="1" applyBorder="1" applyAlignment="1" quotePrefix="1">
      <alignment/>
    </xf>
    <xf numFmtId="0" fontId="22" fillId="0" borderId="0" xfId="0" applyNumberFormat="1" applyFont="1" applyBorder="1" applyAlignment="1">
      <alignment horizontal="center"/>
    </xf>
    <xf numFmtId="37" fontId="35" fillId="0" borderId="10" xfId="0" applyFont="1" applyBorder="1" applyAlignment="1">
      <alignment/>
    </xf>
    <xf numFmtId="37" fontId="36" fillId="0" borderId="0" xfId="0" applyFont="1" applyBorder="1" applyAlignment="1">
      <alignment/>
    </xf>
    <xf numFmtId="37" fontId="35" fillId="0" borderId="10" xfId="0" applyNumberFormat="1" applyFont="1" applyBorder="1" applyAlignment="1" applyProtection="1">
      <alignment/>
      <protection/>
    </xf>
    <xf numFmtId="37" fontId="35" fillId="0" borderId="0" xfId="0" applyNumberFormat="1" applyFont="1" applyBorder="1" applyAlignment="1" applyProtection="1">
      <alignment horizontal="right"/>
      <protection/>
    </xf>
    <xf numFmtId="37" fontId="30" fillId="0" borderId="10" xfId="0" applyFont="1" applyBorder="1" applyAlignment="1">
      <alignment/>
    </xf>
    <xf numFmtId="37" fontId="35" fillId="0" borderId="0" xfId="0" applyNumberFormat="1" applyFont="1" applyBorder="1" applyAlignment="1" applyProtection="1">
      <alignment/>
      <protection/>
    </xf>
    <xf numFmtId="37" fontId="35" fillId="0" borderId="0" xfId="0" applyFont="1" applyBorder="1" applyAlignment="1">
      <alignment horizontal="right"/>
    </xf>
    <xf numFmtId="37" fontId="35" fillId="0" borderId="0" xfId="0" applyFont="1" applyBorder="1" applyAlignment="1">
      <alignment/>
    </xf>
    <xf numFmtId="37" fontId="36" fillId="0" borderId="0" xfId="0" applyNumberFormat="1" applyFont="1" applyBorder="1" applyAlignment="1" applyProtection="1">
      <alignment/>
      <protection/>
    </xf>
    <xf numFmtId="37" fontId="35" fillId="0" borderId="0" xfId="0" applyNumberFormat="1" applyFont="1" applyBorder="1" applyAlignment="1" applyProtection="1" quotePrefix="1">
      <alignment horizontal="right"/>
      <protection/>
    </xf>
    <xf numFmtId="37" fontId="37" fillId="0" borderId="0" xfId="0" applyNumberFormat="1" applyFont="1" applyBorder="1" applyAlignment="1" applyProtection="1">
      <alignment/>
      <protection/>
    </xf>
    <xf numFmtId="37" fontId="35" fillId="0" borderId="0" xfId="0" applyNumberFormat="1" applyFont="1" applyBorder="1" applyAlignment="1" applyProtection="1">
      <alignment/>
      <protection/>
    </xf>
    <xf numFmtId="37" fontId="36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right"/>
      <protection/>
    </xf>
    <xf numFmtId="37" fontId="30" fillId="0" borderId="0" xfId="0" applyFont="1" applyBorder="1" applyAlignment="1">
      <alignment/>
    </xf>
    <xf numFmtId="37" fontId="38" fillId="0" borderId="0" xfId="0" applyNumberFormat="1" applyFont="1" applyBorder="1" applyAlignment="1" applyProtection="1">
      <alignment/>
      <protection/>
    </xf>
    <xf numFmtId="37" fontId="35" fillId="0" borderId="0" xfId="0" applyNumberFormat="1" applyFont="1" applyBorder="1" applyAlignment="1" applyProtection="1" quotePrefix="1">
      <alignment/>
      <protection/>
    </xf>
    <xf numFmtId="37" fontId="12" fillId="0" borderId="0" xfId="0" applyFont="1" applyBorder="1" applyAlignment="1">
      <alignment/>
    </xf>
    <xf numFmtId="37" fontId="2" fillId="0" borderId="0" xfId="0" applyFont="1" applyBorder="1" applyAlignment="1">
      <alignment horizontal="right"/>
    </xf>
    <xf numFmtId="37" fontId="35" fillId="0" borderId="10" xfId="0" applyNumberFormat="1" applyFont="1" applyBorder="1" applyAlignment="1" applyProtection="1">
      <alignment horizontal="right"/>
      <protection/>
    </xf>
    <xf numFmtId="37" fontId="35" fillId="0" borderId="10" xfId="0" applyFont="1" applyBorder="1" applyAlignment="1">
      <alignment horizontal="right"/>
    </xf>
    <xf numFmtId="37" fontId="33" fillId="0" borderId="10" xfId="0" applyNumberFormat="1" applyFont="1" applyFill="1" applyBorder="1" applyAlignment="1">
      <alignment/>
    </xf>
    <xf numFmtId="182" fontId="126" fillId="0" borderId="0" xfId="0" applyNumberFormat="1" applyFont="1" applyAlignment="1">
      <alignment/>
    </xf>
    <xf numFmtId="37" fontId="125" fillId="0" borderId="0" xfId="0" applyNumberFormat="1" applyFont="1" applyBorder="1" applyAlignment="1">
      <alignment horizontal="left"/>
    </xf>
    <xf numFmtId="37" fontId="125" fillId="0" borderId="0" xfId="0" applyFont="1" applyBorder="1" applyAlignment="1">
      <alignment horizontal="left"/>
    </xf>
    <xf numFmtId="49" fontId="125" fillId="0" borderId="0" xfId="0" applyNumberFormat="1" applyFont="1" applyBorder="1" applyAlignment="1">
      <alignment horizontal="left"/>
    </xf>
    <xf numFmtId="39" fontId="125" fillId="0" borderId="0" xfId="0" applyNumberFormat="1" applyFont="1" applyBorder="1" applyAlignment="1">
      <alignment horizontal="right"/>
    </xf>
    <xf numFmtId="37" fontId="127" fillId="0" borderId="0" xfId="0" applyFont="1" applyAlignment="1">
      <alignment/>
    </xf>
    <xf numFmtId="37" fontId="2" fillId="0" borderId="0" xfId="0" applyFont="1" applyFill="1" applyAlignment="1">
      <alignment/>
    </xf>
    <xf numFmtId="37" fontId="20" fillId="0" borderId="0" xfId="0" applyFont="1" applyFill="1" applyAlignment="1">
      <alignment/>
    </xf>
    <xf numFmtId="37" fontId="4" fillId="0" borderId="11" xfId="0" applyFont="1" applyFill="1" applyBorder="1" applyAlignment="1">
      <alignment horizontal="center" wrapText="1"/>
    </xf>
    <xf numFmtId="37" fontId="17" fillId="0" borderId="0" xfId="0" applyFont="1" applyFill="1" applyAlignment="1">
      <alignment/>
    </xf>
    <xf numFmtId="37" fontId="32" fillId="0" borderId="0" xfId="0" applyNumberFormat="1" applyFont="1" applyFill="1" applyAlignment="1" applyProtection="1" quotePrefix="1">
      <alignment horizontal="right"/>
      <protection/>
    </xf>
    <xf numFmtId="37" fontId="32" fillId="0" borderId="0" xfId="0" applyNumberFormat="1" applyFont="1" applyFill="1" applyAlignment="1" applyProtection="1">
      <alignment horizontal="right"/>
      <protection/>
    </xf>
    <xf numFmtId="37" fontId="3" fillId="0" borderId="0" xfId="0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/>
      <protection/>
    </xf>
    <xf numFmtId="37" fontId="32" fillId="0" borderId="0" xfId="0" applyFont="1" applyFill="1" applyAlignment="1">
      <alignment/>
    </xf>
    <xf numFmtId="37" fontId="5" fillId="0" borderId="0" xfId="0" applyFont="1" applyFill="1" applyBorder="1" applyAlignment="1">
      <alignment/>
    </xf>
    <xf numFmtId="37" fontId="32" fillId="0" borderId="0" xfId="0" applyFont="1" applyFill="1" applyAlignment="1">
      <alignment horizontal="right"/>
    </xf>
    <xf numFmtId="37" fontId="39" fillId="0" borderId="0" xfId="0" applyFont="1" applyFill="1" applyAlignment="1">
      <alignment/>
    </xf>
    <xf numFmtId="37" fontId="5" fillId="0" borderId="0" xfId="0" applyFont="1" applyFill="1" applyAlignment="1">
      <alignment/>
    </xf>
    <xf numFmtId="37" fontId="3" fillId="0" borderId="0" xfId="0" applyFont="1" applyFill="1" applyAlignment="1">
      <alignment/>
    </xf>
    <xf numFmtId="37" fontId="5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>
      <alignment/>
    </xf>
    <xf numFmtId="37" fontId="3" fillId="0" borderId="0" xfId="0" applyFont="1" applyFill="1" applyAlignment="1">
      <alignment horizontal="right"/>
    </xf>
    <xf numFmtId="37" fontId="33" fillId="0" borderId="0" xfId="0" applyNumberFormat="1" applyFont="1" applyFill="1" applyAlignment="1">
      <alignment/>
    </xf>
    <xf numFmtId="37" fontId="40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right"/>
      <protection/>
    </xf>
    <xf numFmtId="37" fontId="33" fillId="0" borderId="16" xfId="0" applyNumberFormat="1" applyFont="1" applyFill="1" applyBorder="1" applyAlignment="1">
      <alignment/>
    </xf>
    <xf numFmtId="37" fontId="33" fillId="0" borderId="12" xfId="0" applyNumberFormat="1" applyFont="1" applyFill="1" applyBorder="1" applyAlignment="1">
      <alignment/>
    </xf>
    <xf numFmtId="37" fontId="1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37" fontId="21" fillId="0" borderId="0" xfId="0" applyFont="1" applyFill="1" applyBorder="1" applyAlignment="1">
      <alignment/>
    </xf>
    <xf numFmtId="37" fontId="2" fillId="0" borderId="0" xfId="0" applyFont="1" applyFill="1" applyBorder="1" applyAlignment="1">
      <alignment/>
    </xf>
    <xf numFmtId="37" fontId="2" fillId="0" borderId="0" xfId="0" applyFont="1" applyFill="1" applyBorder="1" applyAlignment="1" quotePrefix="1">
      <alignment/>
    </xf>
    <xf numFmtId="182" fontId="125" fillId="0" borderId="0" xfId="0" applyNumberFormat="1" applyFont="1" applyBorder="1" applyAlignment="1">
      <alignment horizontal="left"/>
    </xf>
    <xf numFmtId="37" fontId="4" fillId="0" borderId="0" xfId="0" applyFont="1" applyFill="1" applyBorder="1" applyAlignment="1">
      <alignment horizontal="center" wrapText="1"/>
    </xf>
    <xf numFmtId="37" fontId="4" fillId="0" borderId="0" xfId="0" applyNumberFormat="1" applyFont="1" applyFill="1" applyBorder="1" applyAlignment="1">
      <alignment/>
    </xf>
    <xf numFmtId="37" fontId="33" fillId="0" borderId="0" xfId="0" applyNumberFormat="1" applyFont="1" applyFill="1" applyBorder="1" applyAlignment="1">
      <alignment/>
    </xf>
    <xf numFmtId="182" fontId="32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37" fontId="39" fillId="0" borderId="0" xfId="0" applyNumberFormat="1" applyFont="1" applyFill="1" applyAlignment="1" applyProtection="1">
      <alignment/>
      <protection/>
    </xf>
    <xf numFmtId="37" fontId="39" fillId="0" borderId="0" xfId="0" applyFont="1" applyFill="1" applyBorder="1" applyAlignment="1">
      <alignment/>
    </xf>
    <xf numFmtId="37" fontId="33" fillId="0" borderId="14" xfId="0" applyNumberFormat="1" applyFont="1" applyFill="1" applyBorder="1" applyAlignment="1">
      <alignment/>
    </xf>
    <xf numFmtId="37" fontId="39" fillId="0" borderId="0" xfId="0" applyNumberFormat="1" applyFont="1" applyFill="1" applyAlignment="1" applyProtection="1">
      <alignment/>
      <protection/>
    </xf>
    <xf numFmtId="37" fontId="41" fillId="0" borderId="0" xfId="0" applyNumberFormat="1" applyFont="1" applyFill="1" applyAlignment="1" applyProtection="1">
      <alignment/>
      <protection/>
    </xf>
    <xf numFmtId="37" fontId="39" fillId="0" borderId="0" xfId="0" applyNumberFormat="1" applyFont="1" applyFill="1" applyAlignment="1" applyProtection="1">
      <alignment horizontal="right"/>
      <protection/>
    </xf>
    <xf numFmtId="0" fontId="42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37" fontId="12" fillId="0" borderId="0" xfId="0" applyFont="1" applyBorder="1" applyAlignment="1">
      <alignment horizontal="right"/>
    </xf>
    <xf numFmtId="49" fontId="123" fillId="0" borderId="0" xfId="0" applyNumberFormat="1" applyFont="1" applyBorder="1" applyAlignment="1">
      <alignment horizontal="left"/>
    </xf>
    <xf numFmtId="182" fontId="2" fillId="0" borderId="0" xfId="0" applyNumberFormat="1" applyFont="1" applyBorder="1" applyAlignment="1">
      <alignment/>
    </xf>
    <xf numFmtId="49" fontId="128" fillId="0" borderId="0" xfId="0" applyNumberFormat="1" applyFont="1" applyBorder="1" applyAlignment="1">
      <alignment horizontal="left"/>
    </xf>
    <xf numFmtId="39" fontId="123" fillId="0" borderId="0" xfId="0" applyNumberFormat="1" applyFont="1" applyBorder="1" applyAlignment="1">
      <alignment horizontal="right"/>
    </xf>
    <xf numFmtId="182" fontId="32" fillId="0" borderId="0" xfId="0" applyNumberFormat="1" applyFont="1" applyBorder="1" applyAlignment="1">
      <alignment/>
    </xf>
    <xf numFmtId="37" fontId="129" fillId="0" borderId="0" xfId="0" applyFont="1" applyBorder="1" applyAlignment="1">
      <alignment/>
    </xf>
    <xf numFmtId="37" fontId="34" fillId="0" borderId="0" xfId="0" applyFont="1" applyBorder="1" applyAlignment="1">
      <alignment/>
    </xf>
    <xf numFmtId="37" fontId="130" fillId="0" borderId="0" xfId="0" applyFont="1" applyBorder="1" applyAlignment="1">
      <alignment/>
    </xf>
    <xf numFmtId="37" fontId="131" fillId="0" borderId="0" xfId="0" applyFont="1" applyBorder="1" applyAlignment="1">
      <alignment/>
    </xf>
    <xf numFmtId="49" fontId="132" fillId="0" borderId="0" xfId="0" applyNumberFormat="1" applyFont="1" applyBorder="1" applyAlignment="1">
      <alignment horizontal="right"/>
    </xf>
    <xf numFmtId="37" fontId="30" fillId="0" borderId="12" xfId="0" applyFont="1" applyBorder="1" applyAlignment="1">
      <alignment/>
    </xf>
    <xf numFmtId="37" fontId="32" fillId="0" borderId="0" xfId="0" applyFont="1" applyAlignment="1">
      <alignment horizontal="right"/>
    </xf>
    <xf numFmtId="37" fontId="32" fillId="0" borderId="0" xfId="0" applyNumberFormat="1" applyFont="1" applyAlignment="1" applyProtection="1">
      <alignment horizontal="right"/>
      <protection/>
    </xf>
    <xf numFmtId="37" fontId="32" fillId="0" borderId="13" xfId="0" applyFont="1" applyBorder="1" applyAlignment="1">
      <alignment/>
    </xf>
    <xf numFmtId="37" fontId="2" fillId="0" borderId="10" xfId="0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0" fontId="43" fillId="0" borderId="0" xfId="0" applyNumberFormat="1" applyFont="1" applyAlignment="1">
      <alignment horizontal="center"/>
    </xf>
    <xf numFmtId="37" fontId="2" fillId="0" borderId="0" xfId="0" applyFont="1" applyAlignment="1">
      <alignment horizontal="center"/>
    </xf>
    <xf numFmtId="37" fontId="133" fillId="0" borderId="0" xfId="0" applyFont="1" applyAlignment="1">
      <alignment/>
    </xf>
    <xf numFmtId="193" fontId="32" fillId="0" borderId="0" xfId="0" applyNumberFormat="1" applyFont="1" applyAlignment="1">
      <alignment/>
    </xf>
    <xf numFmtId="193" fontId="32" fillId="0" borderId="0" xfId="0" applyNumberFormat="1" applyFont="1" applyBorder="1" applyAlignment="1">
      <alignment/>
    </xf>
    <xf numFmtId="37" fontId="20" fillId="0" borderId="0" xfId="0" applyFont="1" applyBorder="1" applyAlignment="1">
      <alignment/>
    </xf>
    <xf numFmtId="37" fontId="30" fillId="0" borderId="0" xfId="0" applyNumberFormat="1" applyFont="1" applyBorder="1" applyAlignment="1" applyProtection="1">
      <alignment/>
      <protection/>
    </xf>
    <xf numFmtId="37" fontId="32" fillId="0" borderId="0" xfId="0" applyNumberFormat="1" applyFont="1" applyBorder="1" applyAlignment="1" applyProtection="1">
      <alignment horizontal="right"/>
      <protection/>
    </xf>
    <xf numFmtId="37" fontId="32" fillId="0" borderId="0" xfId="0" applyNumberFormat="1" applyFont="1" applyBorder="1" applyAlignment="1" applyProtection="1">
      <alignment/>
      <protection/>
    </xf>
    <xf numFmtId="37" fontId="39" fillId="0" borderId="0" xfId="0" applyFont="1" applyBorder="1" applyAlignment="1">
      <alignment/>
    </xf>
    <xf numFmtId="37" fontId="32" fillId="0" borderId="0" xfId="0" applyFont="1" applyBorder="1" applyAlignment="1">
      <alignment horizontal="right"/>
    </xf>
    <xf numFmtId="37" fontId="35" fillId="0" borderId="10" xfId="0" applyNumberFormat="1" applyFont="1" applyBorder="1" applyAlignment="1" applyProtection="1" quotePrefix="1">
      <alignment horizontal="right"/>
      <protection/>
    </xf>
    <xf numFmtId="39" fontId="134" fillId="0" borderId="0" xfId="0" applyNumberFormat="1" applyFont="1" applyAlignment="1">
      <alignment horizontal="right"/>
    </xf>
    <xf numFmtId="37" fontId="3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right"/>
      <protection/>
    </xf>
    <xf numFmtId="37" fontId="2" fillId="0" borderId="31" xfId="0" applyFont="1" applyBorder="1" applyAlignment="1">
      <alignment/>
    </xf>
    <xf numFmtId="37" fontId="32" fillId="0" borderId="0" xfId="0" applyFont="1" applyBorder="1" applyAlignment="1" quotePrefix="1">
      <alignment horizontal="right"/>
    </xf>
    <xf numFmtId="37" fontId="32" fillId="0" borderId="0" xfId="0" applyFont="1" applyBorder="1" applyAlignment="1" quotePrefix="1">
      <alignment horizontal="center"/>
    </xf>
    <xf numFmtId="37" fontId="2" fillId="0" borderId="0" xfId="0" applyFont="1" applyAlignment="1" quotePrefix="1">
      <alignment horizontal="right"/>
    </xf>
    <xf numFmtId="37" fontId="2" fillId="0" borderId="35" xfId="0" applyFont="1" applyFill="1" applyBorder="1" applyAlignment="1" quotePrefix="1">
      <alignment/>
    </xf>
    <xf numFmtId="37" fontId="133" fillId="0" borderId="36" xfId="0" applyFont="1" applyFill="1" applyBorder="1" applyAlignment="1" quotePrefix="1">
      <alignment/>
    </xf>
    <xf numFmtId="37" fontId="46" fillId="0" borderId="0" xfId="0" applyFont="1" applyAlignment="1">
      <alignment/>
    </xf>
    <xf numFmtId="37" fontId="46" fillId="0" borderId="0" xfId="0" applyFont="1" applyBorder="1" applyAlignment="1">
      <alignment/>
    </xf>
    <xf numFmtId="37" fontId="0" fillId="0" borderId="0" xfId="0" applyBorder="1" applyAlignment="1">
      <alignment/>
    </xf>
    <xf numFmtId="37" fontId="46" fillId="0" borderId="0" xfId="0" applyFont="1" applyBorder="1" applyAlignment="1">
      <alignment horizontal="center"/>
    </xf>
    <xf numFmtId="37" fontId="47" fillId="0" borderId="0" xfId="0" applyFont="1" applyBorder="1" applyAlignment="1">
      <alignment/>
    </xf>
    <xf numFmtId="37" fontId="50" fillId="0" borderId="0" xfId="0" applyFont="1" applyAlignment="1">
      <alignment/>
    </xf>
    <xf numFmtId="37" fontId="33" fillId="0" borderId="0" xfId="0" applyNumberFormat="1" applyFont="1" applyBorder="1" applyAlignment="1">
      <alignment/>
    </xf>
    <xf numFmtId="37" fontId="29" fillId="0" borderId="0" xfId="0" applyFont="1" applyAlignment="1">
      <alignment horizontal="center"/>
    </xf>
    <xf numFmtId="39" fontId="135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4" fontId="51" fillId="0" borderId="0" xfId="0" applyNumberFormat="1" applyFont="1" applyAlignment="1">
      <alignment/>
    </xf>
    <xf numFmtId="37" fontId="32" fillId="12" borderId="0" xfId="0" applyFont="1" applyFill="1" applyAlignment="1">
      <alignment/>
    </xf>
    <xf numFmtId="37" fontId="35" fillId="12" borderId="0" xfId="0" applyNumberFormat="1" applyFont="1" applyFill="1" applyBorder="1" applyAlignment="1" applyProtection="1">
      <alignment horizontal="right"/>
      <protection/>
    </xf>
    <xf numFmtId="184" fontId="32" fillId="12" borderId="0" xfId="0" applyNumberFormat="1" applyFont="1" applyFill="1" applyAlignment="1">
      <alignment/>
    </xf>
    <xf numFmtId="184" fontId="32" fillId="12" borderId="0" xfId="0" applyNumberFormat="1" applyFont="1" applyFill="1" applyBorder="1" applyAlignment="1">
      <alignment/>
    </xf>
    <xf numFmtId="37" fontId="47" fillId="0" borderId="20" xfId="0" applyFont="1" applyBorder="1" applyAlignment="1">
      <alignment/>
    </xf>
    <xf numFmtId="37" fontId="54" fillId="0" borderId="37" xfId="0" applyFont="1" applyBorder="1" applyAlignment="1">
      <alignment/>
    </xf>
    <xf numFmtId="37" fontId="54" fillId="0" borderId="38" xfId="0" applyFont="1" applyBorder="1" applyAlignment="1">
      <alignment/>
    </xf>
    <xf numFmtId="172" fontId="53" fillId="0" borderId="0" xfId="0" applyNumberFormat="1" applyFont="1" applyBorder="1" applyAlignment="1">
      <alignment/>
    </xf>
    <xf numFmtId="39" fontId="128" fillId="0" borderId="11" xfId="0" applyNumberFormat="1" applyFont="1" applyBorder="1" applyAlignment="1">
      <alignment horizontal="right"/>
    </xf>
    <xf numFmtId="37" fontId="46" fillId="0" borderId="26" xfId="0" applyFont="1" applyBorder="1" applyAlignment="1">
      <alignment/>
    </xf>
    <xf numFmtId="37" fontId="46" fillId="0" borderId="23" xfId="0" applyFont="1" applyBorder="1" applyAlignment="1">
      <alignment/>
    </xf>
    <xf numFmtId="37" fontId="46" fillId="0" borderId="32" xfId="0" applyFont="1" applyBorder="1" applyAlignment="1">
      <alignment/>
    </xf>
    <xf numFmtId="37" fontId="46" fillId="0" borderId="27" xfId="0" applyFont="1" applyBorder="1" applyAlignment="1">
      <alignment/>
    </xf>
    <xf numFmtId="37" fontId="47" fillId="0" borderId="24" xfId="0" applyFont="1" applyBorder="1" applyAlignment="1">
      <alignment horizontal="center"/>
    </xf>
    <xf numFmtId="37" fontId="46" fillId="0" borderId="25" xfId="0" applyFont="1" applyBorder="1" applyAlignment="1">
      <alignment/>
    </xf>
    <xf numFmtId="173" fontId="47" fillId="0" borderId="25" xfId="0" applyNumberFormat="1" applyFont="1" applyBorder="1" applyAlignment="1">
      <alignment horizontal="center"/>
    </xf>
    <xf numFmtId="173" fontId="47" fillId="0" borderId="25" xfId="0" applyNumberFormat="1" applyFont="1" applyBorder="1" applyAlignment="1">
      <alignment/>
    </xf>
    <xf numFmtId="37" fontId="47" fillId="0" borderId="25" xfId="0" applyFont="1" applyBorder="1" applyAlignment="1">
      <alignment/>
    </xf>
    <xf numFmtId="37" fontId="47" fillId="0" borderId="31" xfId="0" applyFont="1" applyBorder="1" applyAlignment="1">
      <alignment horizontal="center"/>
    </xf>
    <xf numFmtId="37" fontId="46" fillId="0" borderId="39" xfId="0" applyFont="1" applyBorder="1" applyAlignment="1">
      <alignment/>
    </xf>
    <xf numFmtId="37" fontId="0" fillId="0" borderId="40" xfId="0" applyBorder="1" applyAlignment="1">
      <alignment/>
    </xf>
    <xf numFmtId="37" fontId="46" fillId="0" borderId="24" xfId="0" applyFont="1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37" fontId="49" fillId="0" borderId="27" xfId="0" applyFont="1" applyBorder="1" applyAlignment="1" quotePrefix="1">
      <alignment/>
    </xf>
    <xf numFmtId="37" fontId="45" fillId="0" borderId="0" xfId="0" applyFont="1" applyBorder="1" applyAlignment="1">
      <alignment/>
    </xf>
    <xf numFmtId="37" fontId="45" fillId="0" borderId="24" xfId="0" applyFont="1" applyBorder="1" applyAlignment="1">
      <alignment/>
    </xf>
    <xf numFmtId="37" fontId="46" fillId="0" borderId="31" xfId="0" applyFont="1" applyBorder="1" applyAlignment="1">
      <alignment/>
    </xf>
    <xf numFmtId="37" fontId="47" fillId="0" borderId="27" xfId="0" applyFont="1" applyBorder="1" applyAlignment="1">
      <alignment/>
    </xf>
    <xf numFmtId="37" fontId="55" fillId="0" borderId="0" xfId="0" applyFont="1" applyAlignment="1">
      <alignment/>
    </xf>
    <xf numFmtId="37" fontId="47" fillId="0" borderId="27" xfId="0" applyFont="1" applyBorder="1" applyAlignment="1" quotePrefix="1">
      <alignment/>
    </xf>
    <xf numFmtId="37" fontId="52" fillId="0" borderId="0" xfId="0" applyFont="1" applyBorder="1" applyAlignment="1">
      <alignment/>
    </xf>
    <xf numFmtId="37" fontId="46" fillId="0" borderId="41" xfId="0" applyFont="1" applyBorder="1" applyAlignment="1">
      <alignment/>
    </xf>
    <xf numFmtId="37" fontId="54" fillId="0" borderId="39" xfId="0" applyFont="1" applyBorder="1" applyAlignment="1">
      <alignment/>
    </xf>
    <xf numFmtId="37" fontId="47" fillId="0" borderId="39" xfId="0" applyFont="1" applyBorder="1" applyAlignment="1">
      <alignment/>
    </xf>
    <xf numFmtId="172" fontId="47" fillId="0" borderId="39" xfId="0" applyNumberFormat="1" applyFont="1" applyBorder="1" applyAlignment="1">
      <alignment/>
    </xf>
    <xf numFmtId="37" fontId="46" fillId="0" borderId="40" xfId="0" applyFont="1" applyBorder="1" applyAlignment="1">
      <alignment/>
    </xf>
    <xf numFmtId="37" fontId="47" fillId="0" borderId="21" xfId="0" applyFont="1" applyBorder="1" applyAlignment="1">
      <alignment/>
    </xf>
    <xf numFmtId="37" fontId="54" fillId="0" borderId="21" xfId="0" applyFont="1" applyBorder="1" applyAlignment="1">
      <alignment/>
    </xf>
    <xf numFmtId="37" fontId="46" fillId="0" borderId="41" xfId="0" applyFont="1" applyBorder="1" applyAlignment="1">
      <alignment horizontal="center"/>
    </xf>
    <xf numFmtId="37" fontId="46" fillId="0" borderId="39" xfId="0" applyFont="1" applyBorder="1" applyAlignment="1">
      <alignment horizontal="center"/>
    </xf>
    <xf numFmtId="173" fontId="54" fillId="0" borderId="40" xfId="0" applyNumberFormat="1" applyFont="1" applyBorder="1" applyAlignment="1">
      <alignment horizontal="center"/>
    </xf>
    <xf numFmtId="37" fontId="48" fillId="0" borderId="28" xfId="0" applyFont="1" applyBorder="1" applyAlignment="1">
      <alignment/>
    </xf>
    <xf numFmtId="37" fontId="136" fillId="0" borderId="0" xfId="0" applyFont="1" applyAlignment="1">
      <alignment/>
    </xf>
    <xf numFmtId="37" fontId="136" fillId="0" borderId="0" xfId="0" applyFont="1" applyAlignment="1" quotePrefix="1">
      <alignment/>
    </xf>
    <xf numFmtId="37" fontId="136" fillId="0" borderId="13" xfId="0" applyFont="1" applyBorder="1" applyAlignment="1">
      <alignment/>
    </xf>
    <xf numFmtId="37" fontId="137" fillId="0" borderId="0" xfId="0" applyFont="1" applyAlignment="1">
      <alignment horizontal="center"/>
    </xf>
    <xf numFmtId="184" fontId="136" fillId="0" borderId="0" xfId="0" applyNumberFormat="1" applyFont="1" applyAlignment="1">
      <alignment/>
    </xf>
    <xf numFmtId="37" fontId="138" fillId="0" borderId="0" xfId="0" applyFont="1" applyAlignment="1" quotePrefix="1">
      <alignment/>
    </xf>
    <xf numFmtId="37" fontId="136" fillId="0" borderId="41" xfId="0" applyFont="1" applyBorder="1" applyAlignment="1">
      <alignment/>
    </xf>
    <xf numFmtId="37" fontId="136" fillId="0" borderId="42" xfId="0" applyFont="1" applyBorder="1" applyAlignment="1">
      <alignment/>
    </xf>
    <xf numFmtId="37" fontId="136" fillId="0" borderId="39" xfId="0" applyFont="1" applyBorder="1" applyAlignment="1">
      <alignment/>
    </xf>
    <xf numFmtId="184" fontId="136" fillId="0" borderId="39" xfId="0" applyNumberFormat="1" applyFont="1" applyBorder="1" applyAlignment="1">
      <alignment/>
    </xf>
    <xf numFmtId="37" fontId="139" fillId="0" borderId="12" xfId="0" applyFont="1" applyBorder="1" applyAlignment="1">
      <alignment/>
    </xf>
    <xf numFmtId="37" fontId="136" fillId="0" borderId="12" xfId="0" applyFont="1" applyBorder="1" applyAlignment="1">
      <alignment/>
    </xf>
    <xf numFmtId="184" fontId="138" fillId="0" borderId="39" xfId="0" applyNumberFormat="1" applyFont="1" applyBorder="1" applyAlignment="1">
      <alignment/>
    </xf>
    <xf numFmtId="37" fontId="138" fillId="0" borderId="0" xfId="0" applyFont="1" applyAlignment="1">
      <alignment/>
    </xf>
    <xf numFmtId="184" fontId="138" fillId="0" borderId="0" xfId="0" applyNumberFormat="1" applyFont="1" applyAlignment="1">
      <alignment/>
    </xf>
    <xf numFmtId="184" fontId="138" fillId="0" borderId="42" xfId="0" applyNumberFormat="1" applyFont="1" applyBorder="1" applyAlignment="1">
      <alignment/>
    </xf>
    <xf numFmtId="184" fontId="138" fillId="0" borderId="13" xfId="0" applyNumberFormat="1" applyFont="1" applyBorder="1" applyAlignment="1">
      <alignment/>
    </xf>
    <xf numFmtId="184" fontId="140" fillId="0" borderId="39" xfId="0" applyNumberFormat="1" applyFont="1" applyBorder="1" applyAlignment="1">
      <alignment/>
    </xf>
    <xf numFmtId="184" fontId="140" fillId="0" borderId="0" xfId="0" applyNumberFormat="1" applyFont="1" applyAlignment="1">
      <alignment/>
    </xf>
    <xf numFmtId="37" fontId="138" fillId="0" borderId="39" xfId="0" applyFont="1" applyBorder="1" applyAlignment="1">
      <alignment/>
    </xf>
    <xf numFmtId="37" fontId="140" fillId="0" borderId="39" xfId="0" applyFont="1" applyBorder="1" applyAlignment="1">
      <alignment/>
    </xf>
    <xf numFmtId="37" fontId="140" fillId="0" borderId="0" xfId="0" applyFont="1" applyAlignment="1">
      <alignment/>
    </xf>
    <xf numFmtId="37" fontId="140" fillId="0" borderId="40" xfId="0" applyFont="1" applyBorder="1" applyAlignment="1">
      <alignment/>
    </xf>
    <xf numFmtId="37" fontId="141" fillId="0" borderId="0" xfId="0" applyFont="1" applyAlignment="1" quotePrefix="1">
      <alignment/>
    </xf>
    <xf numFmtId="37" fontId="142" fillId="0" borderId="0" xfId="0" applyFont="1" applyAlignment="1">
      <alignment/>
    </xf>
    <xf numFmtId="37" fontId="3" fillId="0" borderId="0" xfId="0" applyFont="1" applyBorder="1" applyAlignment="1">
      <alignment/>
    </xf>
    <xf numFmtId="37" fontId="143" fillId="0" borderId="0" xfId="0" applyFont="1" applyAlignment="1">
      <alignment/>
    </xf>
    <xf numFmtId="37" fontId="144" fillId="0" borderId="0" xfId="0" applyFont="1" applyAlignment="1">
      <alignment/>
    </xf>
    <xf numFmtId="37" fontId="144" fillId="0" borderId="0" xfId="0" applyFont="1" applyAlignment="1" quotePrefix="1">
      <alignment/>
    </xf>
    <xf numFmtId="37" fontId="145" fillId="0" borderId="0" xfId="0" applyFont="1" applyAlignment="1">
      <alignment/>
    </xf>
    <xf numFmtId="37" fontId="146" fillId="0" borderId="12" xfId="0" applyFont="1" applyBorder="1" applyAlignment="1">
      <alignment/>
    </xf>
    <xf numFmtId="37" fontId="147" fillId="0" borderId="0" xfId="0" applyFont="1" applyAlignment="1">
      <alignment/>
    </xf>
    <xf numFmtId="172" fontId="148" fillId="0" borderId="0" xfId="0" applyNumberFormat="1" applyFont="1" applyBorder="1" applyAlignment="1">
      <alignment horizontal="right"/>
    </xf>
    <xf numFmtId="184" fontId="149" fillId="0" borderId="0" xfId="0" applyNumberFormat="1" applyFont="1" applyAlignment="1">
      <alignment/>
    </xf>
    <xf numFmtId="37" fontId="32" fillId="0" borderId="11" xfId="0" applyFont="1" applyBorder="1" applyAlignment="1">
      <alignment/>
    </xf>
    <xf numFmtId="37" fontId="144" fillId="0" borderId="43" xfId="0" applyFont="1" applyBorder="1" applyAlignment="1">
      <alignment/>
    </xf>
    <xf numFmtId="9" fontId="150" fillId="0" borderId="10" xfId="0" applyNumberFormat="1" applyFont="1" applyBorder="1" applyAlignment="1">
      <alignment/>
    </xf>
    <xf numFmtId="184" fontId="138" fillId="0" borderId="44" xfId="0" applyNumberFormat="1" applyFont="1" applyBorder="1" applyAlignment="1">
      <alignment/>
    </xf>
    <xf numFmtId="37" fontId="138" fillId="0" borderId="10" xfId="0" applyFont="1" applyBorder="1" applyAlignment="1">
      <alignment/>
    </xf>
    <xf numFmtId="184" fontId="151" fillId="0" borderId="10" xfId="0" applyNumberFormat="1" applyFont="1" applyBorder="1" applyAlignment="1">
      <alignment/>
    </xf>
    <xf numFmtId="184" fontId="138" fillId="0" borderId="10" xfId="0" applyNumberFormat="1" applyFont="1" applyBorder="1" applyAlignment="1">
      <alignment/>
    </xf>
    <xf numFmtId="184" fontId="138" fillId="0" borderId="45" xfId="0" applyNumberFormat="1" applyFont="1" applyBorder="1" applyAlignment="1">
      <alignment/>
    </xf>
    <xf numFmtId="37" fontId="136" fillId="34" borderId="46" xfId="0" applyFont="1" applyFill="1" applyBorder="1" applyAlignment="1">
      <alignment/>
    </xf>
    <xf numFmtId="37" fontId="136" fillId="34" borderId="47" xfId="0" applyFont="1" applyFill="1" applyBorder="1" applyAlignment="1">
      <alignment/>
    </xf>
    <xf numFmtId="37" fontId="136" fillId="34" borderId="48" xfId="0" applyFont="1" applyFill="1" applyBorder="1" applyAlignment="1">
      <alignment/>
    </xf>
    <xf numFmtId="184" fontId="136" fillId="34" borderId="48" xfId="0" applyNumberFormat="1" applyFont="1" applyFill="1" applyBorder="1" applyAlignment="1">
      <alignment/>
    </xf>
    <xf numFmtId="184" fontId="138" fillId="34" borderId="48" xfId="0" applyNumberFormat="1" applyFont="1" applyFill="1" applyBorder="1" applyAlignment="1">
      <alignment/>
    </xf>
    <xf numFmtId="184" fontId="151" fillId="34" borderId="49" xfId="0" applyNumberFormat="1" applyFont="1" applyFill="1" applyBorder="1" applyAlignment="1">
      <alignment/>
    </xf>
    <xf numFmtId="184" fontId="138" fillId="34" borderId="47" xfId="0" applyNumberFormat="1" applyFont="1" applyFill="1" applyBorder="1" applyAlignment="1">
      <alignment/>
    </xf>
    <xf numFmtId="184" fontId="140" fillId="34" borderId="48" xfId="0" applyNumberFormat="1" applyFont="1" applyFill="1" applyBorder="1" applyAlignment="1">
      <alignment/>
    </xf>
    <xf numFmtId="37" fontId="142" fillId="34" borderId="50" xfId="0" applyFont="1" applyFill="1" applyBorder="1" applyAlignment="1">
      <alignment/>
    </xf>
    <xf numFmtId="37" fontId="152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rmal - Style2" xfId="58"/>
    <cellStyle name="Normal - Style3" xfId="59"/>
    <cellStyle name="Normal - Style4" xfId="60"/>
    <cellStyle name="Normal - Style5" xfId="61"/>
    <cellStyle name="Normal - Style6" xfId="62"/>
    <cellStyle name="Normal - Style7" xfId="63"/>
    <cellStyle name="Normal - Style8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zoomScalePageLayoutView="0" workbookViewId="0" topLeftCell="A1">
      <selection activeCell="J10" sqref="J10"/>
    </sheetView>
  </sheetViews>
  <sheetFormatPr defaultColWidth="8.88671875" defaultRowHeight="15.75"/>
  <cols>
    <col min="1" max="1" width="2.3359375" style="0" customWidth="1"/>
    <col min="2" max="2" width="35.77734375" style="0" customWidth="1"/>
    <col min="3" max="3" width="3.99609375" style="0" customWidth="1"/>
    <col min="4" max="4" width="9.4453125" style="0" bestFit="1" customWidth="1"/>
    <col min="5" max="5" width="4.10546875" style="0" customWidth="1"/>
    <col min="6" max="6" width="9.4453125" style="0" bestFit="1" customWidth="1"/>
    <col min="7" max="7" width="3.3359375" style="0" customWidth="1"/>
    <col min="8" max="8" width="9.4453125" style="0" bestFit="1" customWidth="1"/>
    <col min="9" max="9" width="2.4453125" style="0" customWidth="1"/>
    <col min="10" max="10" width="11.88671875" style="0" customWidth="1"/>
  </cols>
  <sheetData>
    <row r="1" ht="21.75">
      <c r="B1" s="312" t="s">
        <v>441</v>
      </c>
    </row>
    <row r="2" ht="18.75">
      <c r="B2" s="275"/>
    </row>
    <row r="3" spans="2:10" ht="19.5" thickBot="1">
      <c r="B3" s="275"/>
      <c r="D3" s="272"/>
      <c r="E3" s="272"/>
      <c r="F3" s="272"/>
      <c r="G3" s="272"/>
      <c r="H3" s="272"/>
      <c r="I3" s="272"/>
      <c r="J3" s="272"/>
    </row>
    <row r="4" spans="2:11" ht="16.5">
      <c r="B4" s="290"/>
      <c r="C4" s="291"/>
      <c r="D4" s="322" t="s">
        <v>437</v>
      </c>
      <c r="E4" s="291"/>
      <c r="F4" s="291"/>
      <c r="G4" s="291"/>
      <c r="H4" s="291"/>
      <c r="I4" s="291"/>
      <c r="J4" s="292"/>
      <c r="K4" s="270"/>
    </row>
    <row r="5" spans="2:11" ht="16.5">
      <c r="B5" s="293"/>
      <c r="C5" s="271"/>
      <c r="D5" s="323" t="s">
        <v>438</v>
      </c>
      <c r="E5" s="271"/>
      <c r="F5" s="273" t="s">
        <v>438</v>
      </c>
      <c r="G5" s="271"/>
      <c r="H5" s="273" t="s">
        <v>438</v>
      </c>
      <c r="I5" s="271"/>
      <c r="J5" s="294" t="s">
        <v>440</v>
      </c>
      <c r="K5" s="270"/>
    </row>
    <row r="6" spans="2:11" ht="21.75" thickBot="1">
      <c r="B6" s="325" t="s">
        <v>447</v>
      </c>
      <c r="C6" s="295"/>
      <c r="D6" s="324">
        <v>2021</v>
      </c>
      <c r="E6" s="297"/>
      <c r="F6" s="296">
        <v>2020</v>
      </c>
      <c r="G6" s="297"/>
      <c r="H6" s="296">
        <v>2019</v>
      </c>
      <c r="I6" s="298"/>
      <c r="J6" s="299" t="s">
        <v>439</v>
      </c>
      <c r="K6" s="270"/>
    </row>
    <row r="7" spans="2:11" ht="16.5">
      <c r="B7" s="306"/>
      <c r="C7" s="291"/>
      <c r="D7" s="315"/>
      <c r="E7" s="291"/>
      <c r="F7" s="291"/>
      <c r="G7" s="291"/>
      <c r="H7" s="291"/>
      <c r="I7" s="291"/>
      <c r="J7" s="292"/>
      <c r="K7" s="270"/>
    </row>
    <row r="8" spans="2:11" ht="16.5">
      <c r="B8" s="303"/>
      <c r="C8" s="271"/>
      <c r="D8" s="300"/>
      <c r="E8" s="271"/>
      <c r="F8" s="271"/>
      <c r="G8" s="271"/>
      <c r="H8" s="271"/>
      <c r="I8" s="271"/>
      <c r="J8" s="302"/>
      <c r="K8" s="270"/>
    </row>
    <row r="9" spans="2:11" ht="18">
      <c r="B9" s="311" t="s">
        <v>431</v>
      </c>
      <c r="C9" s="274"/>
      <c r="D9" s="316">
        <f>'2021 Budget lines'!D143</f>
        <v>3761833.3049999997</v>
      </c>
      <c r="E9" s="308"/>
      <c r="F9" s="308">
        <f>'2021 Budget lines'!F143</f>
        <v>3737358.2224000003</v>
      </c>
      <c r="G9" s="308"/>
      <c r="H9" s="308">
        <f>'2021 Budget lines'!L143</f>
        <v>3677118.3279999997</v>
      </c>
      <c r="I9" s="308"/>
      <c r="J9" s="309">
        <f>D9-F9</f>
        <v>24475.082599999383</v>
      </c>
      <c r="K9" s="270"/>
    </row>
    <row r="10" spans="2:11" ht="18">
      <c r="B10" s="311"/>
      <c r="C10" s="274"/>
      <c r="D10" s="316"/>
      <c r="E10" s="308"/>
      <c r="F10" s="308"/>
      <c r="G10" s="308"/>
      <c r="H10" s="308"/>
      <c r="I10" s="308"/>
      <c r="J10" s="309"/>
      <c r="K10" s="270"/>
    </row>
    <row r="11" spans="2:11" ht="18">
      <c r="B11" s="311" t="s">
        <v>432</v>
      </c>
      <c r="C11" s="274"/>
      <c r="D11" s="316">
        <f>'2021 Budget lines'!D174</f>
        <v>770714.1872</v>
      </c>
      <c r="E11" s="308"/>
      <c r="F11" s="308">
        <f>'2021 Budget lines'!F174</f>
        <v>707983.9186</v>
      </c>
      <c r="G11" s="308"/>
      <c r="H11" s="308">
        <f>'2021 Budget lines'!L174</f>
        <v>635633</v>
      </c>
      <c r="I11" s="308"/>
      <c r="J11" s="309">
        <f>D11-F11</f>
        <v>62730.26860000007</v>
      </c>
      <c r="K11" s="270"/>
    </row>
    <row r="12" spans="2:11" ht="18">
      <c r="B12" s="311"/>
      <c r="C12" s="274"/>
      <c r="D12" s="316"/>
      <c r="E12" s="308"/>
      <c r="F12" s="308"/>
      <c r="G12" s="308"/>
      <c r="H12" s="308"/>
      <c r="I12" s="308"/>
      <c r="J12" s="309"/>
      <c r="K12" s="270"/>
    </row>
    <row r="13" spans="2:11" ht="18">
      <c r="B13" s="311" t="s">
        <v>433</v>
      </c>
      <c r="C13" s="274"/>
      <c r="D13" s="316">
        <f>'2021 Budget lines'!D177</f>
        <v>120000</v>
      </c>
      <c r="E13" s="308"/>
      <c r="F13" s="308">
        <f>'2021 Budget lines'!F177</f>
        <v>115000</v>
      </c>
      <c r="G13" s="308"/>
      <c r="H13" s="308">
        <f>'2021 Budget lines'!L177</f>
        <v>120000</v>
      </c>
      <c r="I13" s="308"/>
      <c r="J13" s="309">
        <f>D13-F13</f>
        <v>5000</v>
      </c>
      <c r="K13" s="270"/>
    </row>
    <row r="14" spans="2:11" ht="18">
      <c r="B14" s="313" t="s">
        <v>434</v>
      </c>
      <c r="C14" s="274"/>
      <c r="D14" s="316"/>
      <c r="E14" s="308"/>
      <c r="F14" s="308"/>
      <c r="G14" s="308"/>
      <c r="H14" s="308"/>
      <c r="I14" s="308"/>
      <c r="J14" s="309"/>
      <c r="K14" s="270"/>
    </row>
    <row r="15" spans="2:11" ht="18.75" thickBot="1">
      <c r="B15" s="311"/>
      <c r="C15" s="274"/>
      <c r="D15" s="316"/>
      <c r="E15" s="308"/>
      <c r="F15" s="308"/>
      <c r="G15" s="308"/>
      <c r="H15" s="308"/>
      <c r="I15" s="308"/>
      <c r="J15" s="309"/>
      <c r="K15" s="270"/>
    </row>
    <row r="16" spans="2:11" ht="18.75" thickBot="1">
      <c r="B16" s="285" t="s">
        <v>173</v>
      </c>
      <c r="C16" s="320"/>
      <c r="D16" s="287">
        <f>D9-D11+D13</f>
        <v>3111119.1177999997</v>
      </c>
      <c r="E16" s="321"/>
      <c r="F16" s="321">
        <f>F9-F11+F13</f>
        <v>3144374.3038000003</v>
      </c>
      <c r="G16" s="321"/>
      <c r="H16" s="321">
        <f>H9-H11+H13</f>
        <v>3161485.3279999997</v>
      </c>
      <c r="I16" s="321"/>
      <c r="J16" s="286">
        <f>D16-F16</f>
        <v>-33255.186000000685</v>
      </c>
      <c r="K16" s="270"/>
    </row>
    <row r="17" spans="2:10" ht="16.5">
      <c r="B17" s="313" t="s">
        <v>435</v>
      </c>
      <c r="C17" s="314"/>
      <c r="D17" s="317"/>
      <c r="E17" s="271"/>
      <c r="F17" s="271"/>
      <c r="G17" s="271"/>
      <c r="H17" s="271"/>
      <c r="I17" s="271"/>
      <c r="J17" s="302"/>
    </row>
    <row r="18" spans="2:10" ht="16.5">
      <c r="B18" s="307" t="s">
        <v>436</v>
      </c>
      <c r="C18" s="272"/>
      <c r="D18" s="318">
        <f>J16/F16</f>
        <v>-0.010576090117455654</v>
      </c>
      <c r="E18" s="271"/>
      <c r="F18" s="271"/>
      <c r="G18" s="271"/>
      <c r="H18" s="271"/>
      <c r="I18" s="271"/>
      <c r="J18" s="302"/>
    </row>
    <row r="19" spans="2:10" ht="17.25" thickBot="1">
      <c r="B19" s="304"/>
      <c r="C19" s="305"/>
      <c r="D19" s="319"/>
      <c r="E19" s="295"/>
      <c r="F19" s="295"/>
      <c r="G19" s="295"/>
      <c r="H19" s="295"/>
      <c r="I19" s="295"/>
      <c r="J19" s="310"/>
    </row>
    <row r="20" ht="16.5" thickBot="1">
      <c r="D20" s="30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0"/>
  <sheetViews>
    <sheetView tabSelected="1" zoomScalePageLayoutView="0" workbookViewId="0" topLeftCell="A1">
      <selection activeCell="M9" sqref="M9"/>
    </sheetView>
  </sheetViews>
  <sheetFormatPr defaultColWidth="8.88671875" defaultRowHeight="15.75"/>
  <cols>
    <col min="1" max="1" width="2.99609375" style="326" customWidth="1"/>
    <col min="2" max="2" width="23.5546875" style="326" customWidth="1"/>
    <col min="3" max="3" width="11.77734375" style="326" customWidth="1"/>
    <col min="4" max="4" width="5.10546875" style="326" customWidth="1"/>
    <col min="5" max="5" width="11.4453125" style="326" customWidth="1"/>
    <col min="6" max="6" width="1.99609375" style="326" customWidth="1"/>
    <col min="7" max="7" width="11.4453125" style="326" customWidth="1"/>
    <col min="8" max="8" width="8.77734375" style="326" customWidth="1"/>
    <col min="9" max="9" width="10.6640625" style="326" customWidth="1"/>
    <col min="10" max="10" width="2.99609375" style="326" customWidth="1"/>
    <col min="11" max="11" width="10.3359375" style="326" customWidth="1"/>
    <col min="12" max="12" width="3.21484375" style="326" customWidth="1"/>
    <col min="13" max="13" width="11.3359375" style="326" customWidth="1"/>
    <col min="14" max="14" width="5.5546875" style="326" customWidth="1"/>
    <col min="15" max="15" width="11.4453125" style="326" customWidth="1"/>
    <col min="16" max="16384" width="8.88671875" style="326" customWidth="1"/>
  </cols>
  <sheetData>
    <row r="2" spans="2:15" ht="28.5" thickBot="1">
      <c r="B2" s="356" t="s">
        <v>465</v>
      </c>
      <c r="C2" s="336"/>
      <c r="D2" s="336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9:10" ht="24" thickBot="1" thickTop="1">
      <c r="I3" s="349" t="s">
        <v>448</v>
      </c>
      <c r="J3" s="349"/>
    </row>
    <row r="4" spans="3:5" ht="15" customHeight="1" thickTop="1">
      <c r="C4" s="368"/>
      <c r="E4" s="332"/>
    </row>
    <row r="5" spans="3:15" ht="21">
      <c r="C5" s="369" t="s">
        <v>458</v>
      </c>
      <c r="E5" s="333" t="s">
        <v>457</v>
      </c>
      <c r="G5" s="328" t="s">
        <v>456</v>
      </c>
      <c r="I5" s="328" t="s">
        <v>449</v>
      </c>
      <c r="K5" s="329" t="s">
        <v>450</v>
      </c>
      <c r="L5" s="329"/>
      <c r="M5" s="328" t="s">
        <v>451</v>
      </c>
      <c r="O5" s="328" t="s">
        <v>452</v>
      </c>
    </row>
    <row r="6" spans="3:5" ht="21">
      <c r="C6" s="370"/>
      <c r="E6" s="334"/>
    </row>
    <row r="7" spans="2:15" ht="21">
      <c r="B7" s="353" t="s">
        <v>453</v>
      </c>
      <c r="C7" s="371"/>
      <c r="E7" s="335"/>
      <c r="G7" s="330"/>
      <c r="I7" s="330"/>
      <c r="J7" s="330"/>
      <c r="K7" s="330"/>
      <c r="L7" s="330"/>
      <c r="M7" s="330"/>
      <c r="N7" s="330"/>
      <c r="O7" s="330"/>
    </row>
    <row r="8" spans="2:15" ht="21.75">
      <c r="B8" s="353" t="s">
        <v>432</v>
      </c>
      <c r="C8" s="372">
        <v>771</v>
      </c>
      <c r="E8" s="338">
        <v>774.6</v>
      </c>
      <c r="F8" s="339"/>
      <c r="G8" s="340">
        <v>708</v>
      </c>
      <c r="H8" s="339"/>
      <c r="I8" s="340">
        <v>734</v>
      </c>
      <c r="J8" s="340"/>
      <c r="K8" s="340">
        <f>I8-M8</f>
        <v>98</v>
      </c>
      <c r="L8" s="340"/>
      <c r="M8" s="340">
        <v>636</v>
      </c>
      <c r="N8" s="340"/>
      <c r="O8" s="340">
        <v>753</v>
      </c>
    </row>
    <row r="9" spans="2:15" ht="21.75">
      <c r="B9" s="353"/>
      <c r="C9" s="372"/>
      <c r="E9" s="338"/>
      <c r="F9" s="339"/>
      <c r="G9" s="340"/>
      <c r="H9" s="339"/>
      <c r="I9" s="340"/>
      <c r="J9" s="340"/>
      <c r="K9" s="340"/>
      <c r="L9" s="340"/>
      <c r="M9" s="340"/>
      <c r="N9" s="340"/>
      <c r="O9" s="340"/>
    </row>
    <row r="10" spans="2:15" ht="21.75">
      <c r="B10" s="353" t="s">
        <v>431</v>
      </c>
      <c r="C10" s="372">
        <f>-3762</f>
        <v>-3762</v>
      </c>
      <c r="E10" s="338">
        <f>-3335.3</f>
        <v>-3335.3</v>
      </c>
      <c r="F10" s="339"/>
      <c r="G10" s="340">
        <f>-3737</f>
        <v>-3737</v>
      </c>
      <c r="H10" s="339"/>
      <c r="I10" s="340">
        <f>-3657</f>
        <v>-3657</v>
      </c>
      <c r="J10" s="340"/>
      <c r="K10" s="340">
        <f>I10-M10</f>
        <v>20</v>
      </c>
      <c r="L10" s="340"/>
      <c r="M10" s="340">
        <f>-3677</f>
        <v>-3677</v>
      </c>
      <c r="N10" s="340"/>
      <c r="O10" s="340">
        <f>-3492</f>
        <v>-3492</v>
      </c>
    </row>
    <row r="11" spans="2:15" ht="22.5" thickBot="1">
      <c r="B11" s="353"/>
      <c r="C11" s="372"/>
      <c r="E11" s="338"/>
      <c r="F11" s="339"/>
      <c r="G11" s="340"/>
      <c r="H11" s="339"/>
      <c r="I11" s="340"/>
      <c r="J11" s="340"/>
      <c r="K11" s="340"/>
      <c r="L11" s="340"/>
      <c r="M11" s="340"/>
      <c r="N11" s="340"/>
      <c r="O11" s="340"/>
    </row>
    <row r="12" spans="2:15" ht="23.25" thickBot="1" thickTop="1">
      <c r="B12" s="361" t="s">
        <v>459</v>
      </c>
      <c r="C12" s="373">
        <v>3111</v>
      </c>
      <c r="D12" s="362">
        <f>(C12-G12)/G12</f>
        <v>-0.01049618320610687</v>
      </c>
      <c r="E12" s="363">
        <v>2750</v>
      </c>
      <c r="F12" s="364"/>
      <c r="G12" s="365">
        <v>3144</v>
      </c>
      <c r="H12" s="364"/>
      <c r="I12" s="366">
        <v>2999</v>
      </c>
      <c r="J12" s="366"/>
      <c r="K12" s="366">
        <f>I12-M12-M13</f>
        <v>-42</v>
      </c>
      <c r="L12" s="366"/>
      <c r="M12" s="366">
        <v>3161</v>
      </c>
      <c r="N12" s="366"/>
      <c r="O12" s="367">
        <v>3117</v>
      </c>
    </row>
    <row r="13" spans="2:15" ht="22.5" thickTop="1">
      <c r="B13" s="354" t="s">
        <v>460</v>
      </c>
      <c r="C13" s="374">
        <f>-120</f>
        <v>-120</v>
      </c>
      <c r="D13" s="327"/>
      <c r="E13" s="341"/>
      <c r="F13" s="331"/>
      <c r="G13" s="342">
        <f>-115</f>
        <v>-115</v>
      </c>
      <c r="H13" s="331"/>
      <c r="I13" s="342"/>
      <c r="J13" s="340"/>
      <c r="K13" s="340"/>
      <c r="L13" s="340"/>
      <c r="M13" s="342">
        <f>-120</f>
        <v>-120</v>
      </c>
      <c r="N13" s="340"/>
      <c r="O13" s="342"/>
    </row>
    <row r="14" spans="2:15" ht="21.75">
      <c r="B14" s="353" t="s">
        <v>454</v>
      </c>
      <c r="C14" s="375">
        <f>C8+C10+C13+C12</f>
        <v>0</v>
      </c>
      <c r="E14" s="343">
        <f>E8+E10+E13+E12</f>
        <v>189.29999999999973</v>
      </c>
      <c r="F14" s="339"/>
      <c r="G14" s="344">
        <f>G8+G10+G13+G12</f>
        <v>0</v>
      </c>
      <c r="H14" s="339"/>
      <c r="I14" s="344">
        <f>I8+I10+I13+I12</f>
        <v>76</v>
      </c>
      <c r="J14" s="344"/>
      <c r="K14" s="344">
        <f>K8+K10+K13+K12</f>
        <v>76</v>
      </c>
      <c r="L14" s="344"/>
      <c r="M14" s="344">
        <f>M8+M10+M13+M12</f>
        <v>0</v>
      </c>
      <c r="N14" s="344"/>
      <c r="O14" s="344">
        <f>O8+O10+O13+O12</f>
        <v>378</v>
      </c>
    </row>
    <row r="15" spans="2:15" ht="21.75">
      <c r="B15" s="353"/>
      <c r="C15" s="370"/>
      <c r="E15" s="345"/>
      <c r="F15" s="339"/>
      <c r="G15" s="339"/>
      <c r="H15" s="339"/>
      <c r="I15" s="340"/>
      <c r="J15" s="340"/>
      <c r="K15" s="340"/>
      <c r="L15" s="340"/>
      <c r="M15" s="340"/>
      <c r="N15" s="340"/>
      <c r="O15" s="340"/>
    </row>
    <row r="16" spans="2:15" ht="21.75">
      <c r="B16" s="353" t="s">
        <v>455</v>
      </c>
      <c r="C16" s="370"/>
      <c r="E16" s="346">
        <v>466</v>
      </c>
      <c r="F16" s="347"/>
      <c r="G16" s="347"/>
      <c r="H16" s="347"/>
      <c r="I16" s="344">
        <v>306</v>
      </c>
      <c r="J16" s="344"/>
      <c r="K16" s="344"/>
      <c r="L16" s="344"/>
      <c r="M16" s="344"/>
      <c r="N16" s="344"/>
      <c r="O16" s="344">
        <v>258</v>
      </c>
    </row>
    <row r="17" spans="2:15" ht="22.5" thickBot="1">
      <c r="B17" s="353"/>
      <c r="C17" s="376"/>
      <c r="D17" s="350"/>
      <c r="E17" s="348"/>
      <c r="F17" s="347"/>
      <c r="G17" s="347"/>
      <c r="H17" s="347"/>
      <c r="I17" s="344"/>
      <c r="J17" s="344"/>
      <c r="K17" s="344"/>
      <c r="L17" s="344"/>
      <c r="M17" s="344"/>
      <c r="N17" s="344"/>
      <c r="O17" s="344"/>
    </row>
    <row r="18" spans="9:15" ht="21.75" thickTop="1">
      <c r="I18" s="330"/>
      <c r="J18" s="330"/>
      <c r="K18" s="330"/>
      <c r="L18" s="330"/>
      <c r="M18" s="330"/>
      <c r="N18" s="330"/>
      <c r="O18" s="330"/>
    </row>
    <row r="19" spans="9:15" ht="13.5" customHeight="1">
      <c r="I19" s="330"/>
      <c r="J19" s="330"/>
      <c r="K19" s="330"/>
      <c r="L19" s="330"/>
      <c r="M19" s="330"/>
      <c r="N19" s="330"/>
      <c r="O19" s="330"/>
    </row>
    <row r="20" spans="2:15" ht="22.5">
      <c r="B20" s="357" t="s">
        <v>461</v>
      </c>
      <c r="C20" s="352"/>
      <c r="D20" s="352"/>
      <c r="I20" s="330"/>
      <c r="J20" s="330"/>
      <c r="K20" s="330"/>
      <c r="L20" s="330"/>
      <c r="M20" s="330"/>
      <c r="N20" s="330"/>
      <c r="O20" s="330"/>
    </row>
    <row r="21" spans="9:15" ht="8.25" customHeight="1">
      <c r="I21" s="330"/>
      <c r="J21" s="330"/>
      <c r="K21" s="330"/>
      <c r="L21" s="330"/>
      <c r="M21" s="330"/>
      <c r="N21" s="330"/>
      <c r="O21" s="330"/>
    </row>
    <row r="22" spans="2:15" ht="21">
      <c r="B22" s="326" t="s">
        <v>466</v>
      </c>
      <c r="I22" s="330"/>
      <c r="J22" s="330"/>
      <c r="K22" s="330"/>
      <c r="L22" s="330"/>
      <c r="M22" s="330"/>
      <c r="N22" s="330"/>
      <c r="O22" s="330"/>
    </row>
    <row r="23" spans="9:15" ht="7.5" customHeight="1">
      <c r="I23" s="330"/>
      <c r="J23" s="330"/>
      <c r="K23" s="330"/>
      <c r="L23" s="330"/>
      <c r="M23" s="330"/>
      <c r="N23" s="330"/>
      <c r="O23" s="330"/>
    </row>
    <row r="24" spans="2:15" ht="20.25" customHeight="1">
      <c r="B24" s="355" t="s">
        <v>476</v>
      </c>
      <c r="I24" s="330"/>
      <c r="J24" s="330"/>
      <c r="K24" s="330"/>
      <c r="L24" s="330"/>
      <c r="M24" s="330"/>
      <c r="N24" s="330"/>
      <c r="O24" s="330"/>
    </row>
    <row r="25" spans="9:15" ht="7.5" customHeight="1">
      <c r="I25" s="330"/>
      <c r="J25" s="330"/>
      <c r="K25" s="330"/>
      <c r="L25" s="330"/>
      <c r="M25" s="330"/>
      <c r="N25" s="330"/>
      <c r="O25" s="330"/>
    </row>
    <row r="26" spans="2:15" ht="21" customHeight="1">
      <c r="B26" s="355" t="s">
        <v>475</v>
      </c>
      <c r="I26" s="330"/>
      <c r="J26" s="330"/>
      <c r="K26" s="330"/>
      <c r="L26" s="330"/>
      <c r="M26" s="330"/>
      <c r="N26" s="330"/>
      <c r="O26" s="330"/>
    </row>
    <row r="27" spans="2:15" ht="6" customHeight="1">
      <c r="B27" s="355"/>
      <c r="I27" s="330"/>
      <c r="J27" s="330"/>
      <c r="K27" s="330"/>
      <c r="L27" s="330"/>
      <c r="M27" s="330"/>
      <c r="N27" s="330"/>
      <c r="O27" s="330"/>
    </row>
    <row r="28" spans="2:15" ht="21">
      <c r="B28" s="377" t="s">
        <v>474</v>
      </c>
      <c r="I28" s="330"/>
      <c r="J28" s="330"/>
      <c r="K28" s="330"/>
      <c r="L28" s="330"/>
      <c r="M28" s="330"/>
      <c r="N28" s="330"/>
      <c r="O28" s="330"/>
    </row>
    <row r="29" ht="7.5" customHeight="1"/>
    <row r="30" ht="20.25" customHeight="1">
      <c r="B30" s="327" t="s">
        <v>464</v>
      </c>
    </row>
    <row r="31" ht="7.5" customHeight="1"/>
    <row r="32" ht="21">
      <c r="B32" s="377" t="s">
        <v>473</v>
      </c>
    </row>
    <row r="33" ht="8.25" customHeight="1"/>
    <row r="34" ht="21">
      <c r="B34" s="327" t="s">
        <v>469</v>
      </c>
    </row>
    <row r="35" ht="8.25" customHeight="1"/>
    <row r="36" ht="21" customHeight="1">
      <c r="B36" s="327" t="s">
        <v>467</v>
      </c>
    </row>
    <row r="37" ht="8.25" customHeight="1"/>
    <row r="38" ht="21">
      <c r="B38" s="327" t="s">
        <v>468</v>
      </c>
    </row>
    <row r="39" ht="9" customHeight="1"/>
    <row r="40" ht="21">
      <c r="B40" s="377" t="s">
        <v>472</v>
      </c>
    </row>
  </sheetData>
  <sheetProtection/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6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.4453125" style="7" customWidth="1"/>
    <col min="2" max="2" width="40.88671875" style="7" customWidth="1"/>
    <col min="3" max="3" width="3.21484375" style="78" customWidth="1"/>
    <col min="4" max="4" width="13.5546875" style="78" customWidth="1"/>
    <col min="5" max="5" width="3.21484375" style="78" customWidth="1"/>
    <col min="6" max="6" width="12.3359375" style="7" customWidth="1"/>
    <col min="7" max="7" width="2.88671875" style="7" customWidth="1"/>
    <col min="8" max="8" width="12.3359375" style="7" customWidth="1"/>
    <col min="9" max="9" width="2.99609375" style="7" customWidth="1"/>
    <col min="10" max="10" width="13.88671875" style="7" customWidth="1"/>
    <col min="11" max="11" width="2.99609375" style="7" customWidth="1"/>
    <col min="12" max="12" width="12.5546875" style="191" customWidth="1"/>
    <col min="13" max="13" width="3.5546875" style="191" customWidth="1"/>
    <col min="14" max="14" width="15.21484375" style="191" customWidth="1"/>
    <col min="15" max="15" width="2.6640625" style="7" customWidth="1"/>
    <col min="16" max="16" width="13.6640625" style="7" customWidth="1"/>
    <col min="17" max="17" width="2.3359375" style="7" customWidth="1"/>
    <col min="18" max="18" width="13.77734375" style="7" customWidth="1"/>
    <col min="19" max="19" width="3.77734375" style="7" customWidth="1"/>
    <col min="20" max="20" width="12.3359375" style="7" customWidth="1"/>
    <col min="21" max="21" width="2.21484375" style="7" customWidth="1"/>
    <col min="22" max="22" width="14.4453125" style="7" customWidth="1"/>
    <col min="23" max="23" width="3.3359375" style="7" customWidth="1"/>
    <col min="24" max="24" width="12.77734375" style="7" customWidth="1"/>
    <col min="25" max="25" width="3.5546875" style="7" customWidth="1"/>
    <col min="26" max="26" width="1.99609375" style="7" customWidth="1"/>
    <col min="27" max="27" width="16.21484375" style="7" customWidth="1"/>
    <col min="28" max="28" width="8.88671875" style="7" customWidth="1"/>
    <col min="29" max="29" width="13.21484375" style="7" customWidth="1"/>
    <col min="30" max="32" width="19.3359375" style="7" customWidth="1"/>
    <col min="33" max="33" width="15.5546875" style="7" customWidth="1"/>
    <col min="34" max="34" width="12.99609375" style="114" bestFit="1" customWidth="1"/>
    <col min="35" max="35" width="25.77734375" style="114" customWidth="1"/>
    <col min="36" max="36" width="27.10546875" style="114" customWidth="1"/>
    <col min="37" max="37" width="14.21484375" style="114" customWidth="1"/>
    <col min="38" max="38" width="12.99609375" style="114" customWidth="1"/>
    <col min="39" max="39" width="20.3359375" style="7" customWidth="1"/>
    <col min="40" max="40" width="30.21484375" style="7" customWidth="1"/>
    <col min="41" max="41" width="17.10546875" style="7" customWidth="1"/>
    <col min="42" max="42" width="4.6640625" style="7" customWidth="1"/>
    <col min="43" max="43" width="5.3359375" style="7" customWidth="1"/>
    <col min="44" max="44" width="28.77734375" style="114" customWidth="1"/>
    <col min="45" max="45" width="15.3359375" style="114" customWidth="1"/>
    <col min="46" max="46" width="13.10546875" style="114" customWidth="1"/>
    <col min="47" max="47" width="8.88671875" style="7" customWidth="1"/>
    <col min="48" max="48" width="4.3359375" style="7" customWidth="1"/>
    <col min="49" max="49" width="22.6640625" style="114" customWidth="1"/>
    <col min="50" max="50" width="13.99609375" style="114" customWidth="1"/>
    <col min="51" max="51" width="14.21484375" style="140" customWidth="1"/>
    <col min="52" max="53" width="8.88671875" style="7" customWidth="1"/>
    <col min="54" max="54" width="22.21484375" style="7" customWidth="1"/>
    <col min="55" max="55" width="11.5546875" style="7" customWidth="1"/>
    <col min="56" max="56" width="8.88671875" style="7" customWidth="1"/>
    <col min="57" max="57" width="10.21484375" style="7" customWidth="1"/>
    <col min="58" max="58" width="11.88671875" style="7" customWidth="1"/>
    <col min="59" max="59" width="19.10546875" style="7" customWidth="1"/>
    <col min="60" max="60" width="12.99609375" style="7" customWidth="1"/>
    <col min="61" max="61" width="21.88671875" style="7" customWidth="1"/>
    <col min="62" max="62" width="12.21484375" style="7" customWidth="1"/>
    <col min="63" max="63" width="39.77734375" style="7" customWidth="1"/>
    <col min="64" max="66" width="8.88671875" style="7" customWidth="1"/>
    <col min="67" max="67" width="9.10546875" style="7" customWidth="1"/>
    <col min="68" max="69" width="8.88671875" style="7" customWidth="1"/>
    <col min="70" max="70" width="15.4453125" style="7" customWidth="1"/>
    <col min="71" max="71" width="18.10546875" style="7" customWidth="1"/>
    <col min="72" max="78" width="8.88671875" style="7" customWidth="1"/>
    <col min="79" max="79" width="28.88671875" style="7" customWidth="1"/>
    <col min="80" max="80" width="11.6640625" style="7" customWidth="1"/>
    <col min="81" max="16384" width="8.88671875" style="7" customWidth="1"/>
  </cols>
  <sheetData>
    <row r="1" spans="33:41" ht="12" customHeight="1">
      <c r="AG1" s="78"/>
      <c r="AH1" s="123"/>
      <c r="AI1" s="123"/>
      <c r="AJ1" s="123"/>
      <c r="AK1" s="123"/>
      <c r="AL1" s="123"/>
      <c r="AM1" s="78"/>
      <c r="AN1" s="78"/>
      <c r="AO1" s="78"/>
    </row>
    <row r="2" spans="2:41" ht="22.5">
      <c r="B2" s="23" t="s">
        <v>143</v>
      </c>
      <c r="C2" s="254"/>
      <c r="D2" s="254"/>
      <c r="E2" s="254"/>
      <c r="F2" s="23"/>
      <c r="G2" s="23"/>
      <c r="H2" s="23"/>
      <c r="I2" s="23"/>
      <c r="J2" s="23"/>
      <c r="K2" s="23"/>
      <c r="L2" s="192"/>
      <c r="M2" s="192"/>
      <c r="N2" s="192"/>
      <c r="O2" s="23"/>
      <c r="AG2" s="78"/>
      <c r="AH2" s="123"/>
      <c r="AI2" s="123"/>
      <c r="AJ2" s="123"/>
      <c r="AK2" s="123"/>
      <c r="AL2" s="123"/>
      <c r="AM2" s="78"/>
      <c r="AN2" s="78"/>
      <c r="AO2" s="78"/>
    </row>
    <row r="3" spans="2:53" ht="22.5">
      <c r="B3" s="23" t="s">
        <v>144</v>
      </c>
      <c r="C3" s="254"/>
      <c r="D3" s="254"/>
      <c r="E3" s="254"/>
      <c r="F3" s="23"/>
      <c r="G3" s="23"/>
      <c r="H3" s="23"/>
      <c r="I3" s="23"/>
      <c r="J3" s="23"/>
      <c r="K3" s="23"/>
      <c r="L3" s="192"/>
      <c r="M3" s="192"/>
      <c r="N3" s="192"/>
      <c r="O3" s="23"/>
      <c r="P3" s="105"/>
      <c r="V3" s="105"/>
      <c r="AG3" s="78"/>
      <c r="AH3" s="123"/>
      <c r="AI3" s="123"/>
      <c r="AJ3" s="123"/>
      <c r="AK3" s="123"/>
      <c r="AL3" s="123"/>
      <c r="AM3" s="78"/>
      <c r="AN3" s="78"/>
      <c r="AO3" s="238"/>
      <c r="AW3" s="123"/>
      <c r="AX3" s="123"/>
      <c r="AY3" s="239"/>
      <c r="AZ3" s="78"/>
      <c r="BA3" s="78"/>
    </row>
    <row r="4" spans="6:53" ht="15.75" customHeight="1">
      <c r="F4" s="250"/>
      <c r="G4" s="250"/>
      <c r="H4" s="250"/>
      <c r="J4" s="277" t="s">
        <v>470</v>
      </c>
      <c r="N4" s="230"/>
      <c r="P4" s="105"/>
      <c r="Q4" s="105"/>
      <c r="R4" s="105"/>
      <c r="S4" s="105"/>
      <c r="AG4" s="78"/>
      <c r="AH4" s="123"/>
      <c r="AI4" s="123"/>
      <c r="AJ4" s="123"/>
      <c r="AK4" s="123"/>
      <c r="AL4" s="123"/>
      <c r="AM4" s="78"/>
      <c r="AN4" s="78"/>
      <c r="AO4" s="78"/>
      <c r="AW4" s="123"/>
      <c r="AX4" s="123"/>
      <c r="AY4" s="239"/>
      <c r="AZ4" s="78"/>
      <c r="BA4" s="78"/>
    </row>
    <row r="5" spans="1:61" ht="35.25" customHeight="1">
      <c r="A5" s="24" t="s">
        <v>145</v>
      </c>
      <c r="D5" s="193" t="s">
        <v>426</v>
      </c>
      <c r="F5" s="193" t="s">
        <v>412</v>
      </c>
      <c r="G5" s="219"/>
      <c r="H5" s="20" t="s">
        <v>442</v>
      </c>
      <c r="J5" s="20" t="s">
        <v>423</v>
      </c>
      <c r="L5" s="193" t="s">
        <v>399</v>
      </c>
      <c r="M5" s="219"/>
      <c r="N5" s="20" t="s">
        <v>401</v>
      </c>
      <c r="P5" s="20" t="s">
        <v>389</v>
      </c>
      <c r="Q5" s="142"/>
      <c r="R5" s="20" t="s">
        <v>384</v>
      </c>
      <c r="S5" s="142"/>
      <c r="T5" s="20" t="s">
        <v>198</v>
      </c>
      <c r="V5" s="20" t="s">
        <v>195</v>
      </c>
      <c r="X5" s="20" t="s">
        <v>183</v>
      </c>
      <c r="AA5" s="104"/>
      <c r="AG5" s="265"/>
      <c r="AH5" s="123"/>
      <c r="AI5" s="123"/>
      <c r="AJ5" s="123"/>
      <c r="AK5" s="266" t="s">
        <v>424</v>
      </c>
      <c r="AL5" s="123"/>
      <c r="AM5" s="78"/>
      <c r="AN5" s="78"/>
      <c r="AO5" s="253">
        <v>2019</v>
      </c>
      <c r="AR5" s="155" t="s">
        <v>388</v>
      </c>
      <c r="AS5" s="252">
        <v>2018</v>
      </c>
      <c r="AW5" s="240" t="s">
        <v>413</v>
      </c>
      <c r="AX5" s="241"/>
      <c r="AY5" s="239"/>
      <c r="AZ5" s="78"/>
      <c r="BA5" s="78"/>
      <c r="BC5" s="190" t="s">
        <v>402</v>
      </c>
      <c r="BI5" s="251" t="s">
        <v>415</v>
      </c>
    </row>
    <row r="6" spans="4:63" ht="12" customHeight="1">
      <c r="D6" s="7"/>
      <c r="AG6" s="78"/>
      <c r="AH6" s="123"/>
      <c r="AI6" s="123"/>
      <c r="AJ6" s="123"/>
      <c r="AK6" s="123"/>
      <c r="AL6" s="123"/>
      <c r="AM6" s="78"/>
      <c r="AN6" s="233"/>
      <c r="AO6" s="78"/>
      <c r="AR6" s="150" t="s">
        <v>217</v>
      </c>
      <c r="AS6" s="151"/>
      <c r="AW6" s="150" t="s">
        <v>217</v>
      </c>
      <c r="AX6" s="151"/>
      <c r="AY6" s="239"/>
      <c r="AZ6" s="78"/>
      <c r="BA6" s="78"/>
      <c r="BB6" s="145" t="s">
        <v>217</v>
      </c>
      <c r="BD6" s="186"/>
      <c r="BE6" s="187"/>
      <c r="BF6" s="188"/>
      <c r="BG6" s="188"/>
      <c r="BH6" s="189"/>
      <c r="BI6" s="145" t="s">
        <v>217</v>
      </c>
      <c r="BJ6" s="146"/>
      <c r="BK6" s="78"/>
    </row>
    <row r="7" spans="2:63" ht="19.5">
      <c r="B7" s="8" t="s">
        <v>72</v>
      </c>
      <c r="C7" s="10"/>
      <c r="D7" s="258"/>
      <c r="E7" s="10"/>
      <c r="F7" s="258"/>
      <c r="G7" s="258"/>
      <c r="H7" s="258"/>
      <c r="I7" s="10"/>
      <c r="J7" s="10"/>
      <c r="K7" s="10"/>
      <c r="L7" s="194"/>
      <c r="M7" s="194"/>
      <c r="N7" s="194"/>
      <c r="O7" s="8"/>
      <c r="P7" s="113"/>
      <c r="Q7" s="113"/>
      <c r="R7" s="113"/>
      <c r="S7" s="113"/>
      <c r="T7" s="114"/>
      <c r="U7" s="112"/>
      <c r="V7" s="114"/>
      <c r="W7" s="112"/>
      <c r="X7" s="114"/>
      <c r="Y7" s="112"/>
      <c r="AG7" s="78"/>
      <c r="AH7" s="123"/>
      <c r="AI7" s="123"/>
      <c r="AJ7" s="123"/>
      <c r="AK7" s="123"/>
      <c r="AL7" s="121" t="s">
        <v>443</v>
      </c>
      <c r="AM7" s="78"/>
      <c r="AN7" s="233"/>
      <c r="AO7" s="234"/>
      <c r="AR7" s="152" t="s">
        <v>216</v>
      </c>
      <c r="AS7" s="151"/>
      <c r="AW7" s="152" t="s">
        <v>216</v>
      </c>
      <c r="AX7" s="151"/>
      <c r="AY7" s="239"/>
      <c r="AZ7" s="78"/>
      <c r="BA7" s="78"/>
      <c r="BB7" s="156" t="s">
        <v>216</v>
      </c>
      <c r="BD7" s="186"/>
      <c r="BE7" s="187"/>
      <c r="BF7" s="188"/>
      <c r="BG7" s="188"/>
      <c r="BH7" s="189"/>
      <c r="BI7" s="156" t="s">
        <v>216</v>
      </c>
      <c r="BJ7" s="146"/>
      <c r="BK7" s="78"/>
    </row>
    <row r="8" spans="1:80" ht="22.5">
      <c r="A8" s="22">
        <v>1</v>
      </c>
      <c r="B8" s="2" t="s">
        <v>73</v>
      </c>
      <c r="C8" s="172"/>
      <c r="D8" s="114">
        <v>5000</v>
      </c>
      <c r="E8" s="172"/>
      <c r="F8" s="114">
        <v>5000</v>
      </c>
      <c r="G8" s="114"/>
      <c r="H8" s="114">
        <v>500</v>
      </c>
      <c r="I8" s="172"/>
      <c r="J8" s="116">
        <f>AK9</f>
        <v>-200</v>
      </c>
      <c r="K8" s="172"/>
      <c r="L8" s="195">
        <v>5000</v>
      </c>
      <c r="M8" s="195"/>
      <c r="N8" s="116">
        <f>AO9</f>
        <v>2470.22</v>
      </c>
      <c r="O8" s="2"/>
      <c r="P8" s="116">
        <f>AS9</f>
        <v>5709.24</v>
      </c>
      <c r="Q8" s="116"/>
      <c r="R8" s="116">
        <v>759.87</v>
      </c>
      <c r="S8" s="116"/>
      <c r="T8" s="114">
        <f>4064.91</f>
        <v>4064.91</v>
      </c>
      <c r="U8" s="112"/>
      <c r="V8" s="114">
        <v>4715.49</v>
      </c>
      <c r="W8" s="112"/>
      <c r="X8" s="114">
        <v>749.13</v>
      </c>
      <c r="Y8" s="112"/>
      <c r="AB8" s="7">
        <f aca="true" t="shared" si="0" ref="AB8:AB39">D8-F8</f>
        <v>0</v>
      </c>
      <c r="AG8" s="235"/>
      <c r="AH8" s="236"/>
      <c r="AI8" s="145"/>
      <c r="AJ8" s="145" t="s">
        <v>218</v>
      </c>
      <c r="AK8" s="146">
        <v>0</v>
      </c>
      <c r="AL8" s="189"/>
      <c r="AM8" s="189"/>
      <c r="AN8" s="145" t="s">
        <v>218</v>
      </c>
      <c r="AO8" s="146">
        <v>4000</v>
      </c>
      <c r="AR8" s="150" t="s">
        <v>218</v>
      </c>
      <c r="AS8" s="151">
        <f>BC8</f>
        <v>4000</v>
      </c>
      <c r="AT8" s="222"/>
      <c r="AW8" s="150" t="s">
        <v>218</v>
      </c>
      <c r="AX8" s="151">
        <v>4000</v>
      </c>
      <c r="AY8" s="239"/>
      <c r="AZ8" s="78"/>
      <c r="BA8" s="78"/>
      <c r="BB8" s="145" t="s">
        <v>218</v>
      </c>
      <c r="BC8" s="146">
        <v>4000</v>
      </c>
      <c r="BD8" s="186"/>
      <c r="BE8" s="146">
        <v>4000</v>
      </c>
      <c r="BF8" s="189">
        <f>BE8-BC8</f>
        <v>0</v>
      </c>
      <c r="BG8" s="218"/>
      <c r="BH8" s="189"/>
      <c r="BI8" s="145" t="s">
        <v>218</v>
      </c>
      <c r="BJ8" s="146">
        <v>4000</v>
      </c>
      <c r="BK8" s="150" t="s">
        <v>218</v>
      </c>
      <c r="BL8" s="151">
        <f>BV8</f>
        <v>0</v>
      </c>
      <c r="BR8" s="145" t="s">
        <v>218</v>
      </c>
      <c r="BS8" s="146">
        <v>4000</v>
      </c>
      <c r="CA8" s="145" t="s">
        <v>218</v>
      </c>
      <c r="CB8" s="146">
        <v>0</v>
      </c>
    </row>
    <row r="9" spans="1:80" ht="22.5">
      <c r="A9" s="7">
        <f>A8+1</f>
        <v>2</v>
      </c>
      <c r="B9" s="2" t="s">
        <v>74</v>
      </c>
      <c r="C9" s="172"/>
      <c r="D9" s="114">
        <v>49000</v>
      </c>
      <c r="E9" s="172"/>
      <c r="F9" s="114">
        <v>49000</v>
      </c>
      <c r="G9" s="114"/>
      <c r="H9" s="114">
        <v>49000</v>
      </c>
      <c r="I9" s="172"/>
      <c r="J9" s="116">
        <f>AK10</f>
        <v>0</v>
      </c>
      <c r="K9" s="172"/>
      <c r="L9" s="195">
        <v>45000</v>
      </c>
      <c r="M9" s="195"/>
      <c r="N9" s="116">
        <f>AO10</f>
        <v>45000</v>
      </c>
      <c r="O9" s="2"/>
      <c r="P9" s="116">
        <f>AS10</f>
        <v>45000</v>
      </c>
      <c r="Q9" s="116"/>
      <c r="R9" s="116">
        <v>45000</v>
      </c>
      <c r="S9" s="116"/>
      <c r="T9" s="114">
        <v>49000</v>
      </c>
      <c r="U9" s="112"/>
      <c r="V9" s="114">
        <v>49000</v>
      </c>
      <c r="W9" s="112"/>
      <c r="X9" s="114">
        <v>49000</v>
      </c>
      <c r="Y9" s="112"/>
      <c r="AB9" s="7">
        <f t="shared" si="0"/>
        <v>0</v>
      </c>
      <c r="AG9" s="235"/>
      <c r="AH9" s="236"/>
      <c r="AI9" s="145"/>
      <c r="AJ9" s="145" t="s">
        <v>219</v>
      </c>
      <c r="AK9" s="146">
        <v>-200</v>
      </c>
      <c r="AL9" s="189"/>
      <c r="AM9" s="189"/>
      <c r="AN9" s="145" t="s">
        <v>219</v>
      </c>
      <c r="AO9" s="146">
        <v>2470.22</v>
      </c>
      <c r="AR9" s="150" t="s">
        <v>219</v>
      </c>
      <c r="AS9" s="151">
        <f>BC9</f>
        <v>5709.24</v>
      </c>
      <c r="AT9" s="222"/>
      <c r="AW9" s="150" t="s">
        <v>219</v>
      </c>
      <c r="AX9" s="151">
        <v>5709.24</v>
      </c>
      <c r="AY9" s="239"/>
      <c r="AZ9" s="78"/>
      <c r="BA9" s="78"/>
      <c r="BB9" s="145" t="s">
        <v>219</v>
      </c>
      <c r="BC9" s="146">
        <v>5709.24</v>
      </c>
      <c r="BD9" s="186"/>
      <c r="BE9" s="146">
        <v>5709.24</v>
      </c>
      <c r="BF9" s="189">
        <f aca="true" t="shared" si="1" ref="BF9:BF72">BE9-BC9</f>
        <v>0</v>
      </c>
      <c r="BG9" s="218"/>
      <c r="BH9" s="189"/>
      <c r="BI9" s="145" t="s">
        <v>219</v>
      </c>
      <c r="BJ9" s="146">
        <v>2470.22</v>
      </c>
      <c r="BK9" s="150" t="s">
        <v>219</v>
      </c>
      <c r="BL9" s="151">
        <f>BV9</f>
        <v>0</v>
      </c>
      <c r="BR9" s="145" t="s">
        <v>219</v>
      </c>
      <c r="BS9" s="146">
        <v>2470.22</v>
      </c>
      <c r="CA9" s="145" t="s">
        <v>219</v>
      </c>
      <c r="CB9" s="146">
        <v>-200</v>
      </c>
    </row>
    <row r="10" spans="1:80" ht="22.5">
      <c r="A10" s="7">
        <f>A9+1</f>
        <v>3</v>
      </c>
      <c r="B10" s="3" t="s">
        <v>199</v>
      </c>
      <c r="C10" s="166"/>
      <c r="D10" s="114"/>
      <c r="E10" s="166"/>
      <c r="F10" s="114"/>
      <c r="G10" s="114"/>
      <c r="H10" s="114"/>
      <c r="I10" s="166"/>
      <c r="J10" s="116">
        <f>AK11</f>
        <v>0</v>
      </c>
      <c r="K10" s="166"/>
      <c r="L10" s="196">
        <v>0</v>
      </c>
      <c r="M10" s="196"/>
      <c r="N10" s="116">
        <f>AO11</f>
        <v>118</v>
      </c>
      <c r="O10" s="3"/>
      <c r="P10" s="116"/>
      <c r="Q10" s="116"/>
      <c r="R10" s="116"/>
      <c r="S10" s="116"/>
      <c r="T10" s="114">
        <f>587</f>
        <v>587</v>
      </c>
      <c r="U10" s="112"/>
      <c r="V10" s="114"/>
      <c r="W10" s="112"/>
      <c r="X10" s="114">
        <v>237.04</v>
      </c>
      <c r="Y10" s="112"/>
      <c r="AB10" s="7">
        <f t="shared" si="0"/>
        <v>0</v>
      </c>
      <c r="AG10" s="235"/>
      <c r="AH10" s="236"/>
      <c r="AI10" s="145"/>
      <c r="AJ10" s="145" t="s">
        <v>220</v>
      </c>
      <c r="AK10" s="146">
        <v>0</v>
      </c>
      <c r="AL10" s="189"/>
      <c r="AM10" s="189"/>
      <c r="AN10" s="145" t="s">
        <v>220</v>
      </c>
      <c r="AO10" s="146">
        <v>45000</v>
      </c>
      <c r="AR10" s="150" t="s">
        <v>220</v>
      </c>
      <c r="AS10" s="151">
        <f>BC10</f>
        <v>45000</v>
      </c>
      <c r="AT10" s="222"/>
      <c r="AW10" s="150" t="s">
        <v>220</v>
      </c>
      <c r="AX10" s="151">
        <v>45000</v>
      </c>
      <c r="AY10" s="239"/>
      <c r="AZ10" s="78"/>
      <c r="BA10" s="78"/>
      <c r="BB10" s="145" t="s">
        <v>220</v>
      </c>
      <c r="BC10" s="146">
        <v>45000</v>
      </c>
      <c r="BD10" s="186"/>
      <c r="BE10" s="146">
        <v>45000</v>
      </c>
      <c r="BF10" s="189">
        <f t="shared" si="1"/>
        <v>0</v>
      </c>
      <c r="BG10" s="218"/>
      <c r="BH10" s="189"/>
      <c r="BI10" s="145" t="s">
        <v>220</v>
      </c>
      <c r="BJ10" s="146">
        <v>45000</v>
      </c>
      <c r="BK10" s="150" t="s">
        <v>220</v>
      </c>
      <c r="BL10" s="151">
        <f>BV10</f>
        <v>0</v>
      </c>
      <c r="BR10" s="145" t="s">
        <v>220</v>
      </c>
      <c r="BS10" s="146">
        <v>45000</v>
      </c>
      <c r="CA10" s="145" t="s">
        <v>220</v>
      </c>
      <c r="CB10" s="146">
        <v>0</v>
      </c>
    </row>
    <row r="11" spans="1:80" ht="23.25" thickBot="1">
      <c r="A11" s="7">
        <f>A10+1</f>
        <v>4</v>
      </c>
      <c r="B11" s="3" t="s">
        <v>88</v>
      </c>
      <c r="C11" s="166"/>
      <c r="D11" s="114"/>
      <c r="E11" s="166"/>
      <c r="F11" s="114"/>
      <c r="G11" s="114"/>
      <c r="H11" s="114"/>
      <c r="I11" s="166"/>
      <c r="J11" s="116"/>
      <c r="K11" s="166"/>
      <c r="L11" s="196"/>
      <c r="M11" s="197"/>
      <c r="N11" s="116"/>
      <c r="O11" s="3"/>
      <c r="P11" s="116"/>
      <c r="Q11" s="116"/>
      <c r="R11" s="116"/>
      <c r="S11" s="116"/>
      <c r="T11" s="114"/>
      <c r="U11" s="112"/>
      <c r="V11" s="114"/>
      <c r="W11" s="112"/>
      <c r="X11" s="114"/>
      <c r="Y11" s="112"/>
      <c r="AB11" s="7">
        <f t="shared" si="0"/>
        <v>0</v>
      </c>
      <c r="AG11" s="235"/>
      <c r="AH11" s="236"/>
      <c r="AI11" s="145"/>
      <c r="AJ11" s="145" t="s">
        <v>221</v>
      </c>
      <c r="AK11" s="146">
        <v>0</v>
      </c>
      <c r="AL11" s="189"/>
      <c r="AM11" s="189"/>
      <c r="AN11" s="145" t="s">
        <v>221</v>
      </c>
      <c r="AO11" s="146">
        <v>118</v>
      </c>
      <c r="AR11" s="150" t="s">
        <v>221</v>
      </c>
      <c r="AS11" s="151">
        <f>BC11</f>
        <v>0</v>
      </c>
      <c r="AT11" s="222"/>
      <c r="AW11" s="150" t="s">
        <v>221</v>
      </c>
      <c r="AX11" s="151">
        <v>0</v>
      </c>
      <c r="AY11" s="239"/>
      <c r="AZ11" s="78"/>
      <c r="BA11" s="78"/>
      <c r="BB11" s="145" t="s">
        <v>221</v>
      </c>
      <c r="BC11" s="146">
        <v>0</v>
      </c>
      <c r="BD11" s="186"/>
      <c r="BE11" s="146">
        <v>0</v>
      </c>
      <c r="BF11" s="189">
        <f t="shared" si="1"/>
        <v>0</v>
      </c>
      <c r="BG11" s="218"/>
      <c r="BH11" s="189"/>
      <c r="BI11" s="145" t="s">
        <v>221</v>
      </c>
      <c r="BJ11" s="146">
        <v>118</v>
      </c>
      <c r="BK11" s="150" t="s">
        <v>221</v>
      </c>
      <c r="BL11" s="151">
        <f>BV11</f>
        <v>0</v>
      </c>
      <c r="BR11" s="145" t="s">
        <v>221</v>
      </c>
      <c r="BS11" s="146">
        <v>118</v>
      </c>
      <c r="CA11" s="145" t="s">
        <v>221</v>
      </c>
      <c r="CB11" s="146">
        <v>0</v>
      </c>
    </row>
    <row r="12" spans="1:80" ht="24" thickBot="1" thickTop="1">
      <c r="A12" s="7">
        <f aca="true" t="shared" si="2" ref="A12:A74">A11+1</f>
        <v>5</v>
      </c>
      <c r="B12" s="25" t="s">
        <v>139</v>
      </c>
      <c r="C12" s="163"/>
      <c r="D12" s="117">
        <f>SUM(D7:D11)</f>
        <v>54000</v>
      </c>
      <c r="E12" s="163"/>
      <c r="F12" s="117">
        <f>SUM(F7:F11)</f>
        <v>54000</v>
      </c>
      <c r="G12" s="117"/>
      <c r="H12" s="117">
        <f>SUM(H7:H11)</f>
        <v>49500</v>
      </c>
      <c r="I12" s="163"/>
      <c r="J12" s="119">
        <f>SUM(J7:J11)</f>
        <v>-200</v>
      </c>
      <c r="K12" s="163"/>
      <c r="L12" s="184">
        <f>SUM(L7:L11)</f>
        <v>50000</v>
      </c>
      <c r="M12" s="184"/>
      <c r="N12" s="119">
        <f>SUM(N7:N11)</f>
        <v>47588.22</v>
      </c>
      <c r="O12" s="25"/>
      <c r="P12" s="119">
        <f>SUM(P7:P11)</f>
        <v>50709.24</v>
      </c>
      <c r="Q12" s="119"/>
      <c r="R12" s="119">
        <f>SUM(R7:R11)</f>
        <v>45759.87</v>
      </c>
      <c r="S12" s="119"/>
      <c r="T12" s="117">
        <f>SUM(T7:T11)</f>
        <v>53651.91</v>
      </c>
      <c r="U12" s="118"/>
      <c r="V12" s="117">
        <f>SUM(V7:V11)</f>
        <v>53715.49</v>
      </c>
      <c r="W12" s="118"/>
      <c r="X12" s="117">
        <f>SUM(X7:X11)</f>
        <v>49986.17</v>
      </c>
      <c r="Y12" s="118"/>
      <c r="AB12" s="7">
        <f t="shared" si="0"/>
        <v>0</v>
      </c>
      <c r="AG12" s="235"/>
      <c r="AH12" s="236"/>
      <c r="AI12" s="145"/>
      <c r="AJ12" s="145" t="s">
        <v>222</v>
      </c>
      <c r="AK12" s="157">
        <v>371.3</v>
      </c>
      <c r="AL12" s="189"/>
      <c r="AM12" s="189"/>
      <c r="AN12" s="145" t="s">
        <v>222</v>
      </c>
      <c r="AO12" s="157">
        <v>4998.85</v>
      </c>
      <c r="AR12" s="150" t="s">
        <v>222</v>
      </c>
      <c r="AS12" s="151">
        <f>BC12</f>
        <v>11726.37</v>
      </c>
      <c r="AT12" s="222"/>
      <c r="AW12" s="150" t="s">
        <v>222</v>
      </c>
      <c r="AX12" s="153">
        <v>11726.37</v>
      </c>
      <c r="AY12" s="239"/>
      <c r="AZ12" s="78"/>
      <c r="BA12" s="78"/>
      <c r="BB12" s="145" t="s">
        <v>222</v>
      </c>
      <c r="BC12" s="157">
        <v>11726.37</v>
      </c>
      <c r="BD12" s="186"/>
      <c r="BE12" s="157">
        <v>11726.37</v>
      </c>
      <c r="BF12" s="189">
        <f t="shared" si="1"/>
        <v>0</v>
      </c>
      <c r="BG12" s="218"/>
      <c r="BH12" s="189"/>
      <c r="BI12" s="145" t="s">
        <v>222</v>
      </c>
      <c r="BJ12" s="157">
        <v>4998.85</v>
      </c>
      <c r="BK12" s="150" t="s">
        <v>222</v>
      </c>
      <c r="BL12" s="151">
        <f>BV12</f>
        <v>0</v>
      </c>
      <c r="BR12" s="145" t="s">
        <v>222</v>
      </c>
      <c r="BS12" s="157">
        <v>4998.85</v>
      </c>
      <c r="CA12" s="145" t="s">
        <v>222</v>
      </c>
      <c r="CB12" s="157">
        <v>371.3</v>
      </c>
    </row>
    <row r="13" spans="1:80" ht="24" thickTop="1">
      <c r="A13" s="7">
        <f t="shared" si="2"/>
        <v>6</v>
      </c>
      <c r="B13" s="16" t="s">
        <v>117</v>
      </c>
      <c r="C13" s="171"/>
      <c r="D13" s="114"/>
      <c r="E13" s="171"/>
      <c r="F13" s="114"/>
      <c r="G13" s="114"/>
      <c r="H13" s="114"/>
      <c r="I13" s="171"/>
      <c r="J13" s="116"/>
      <c r="K13" s="171"/>
      <c r="L13" s="224"/>
      <c r="M13" s="198"/>
      <c r="N13" s="116"/>
      <c r="O13" s="16"/>
      <c r="P13" s="116"/>
      <c r="Q13" s="116"/>
      <c r="R13" s="116"/>
      <c r="S13" s="116"/>
      <c r="T13" s="114"/>
      <c r="U13" s="112"/>
      <c r="V13" s="114"/>
      <c r="W13" s="112"/>
      <c r="X13" s="114"/>
      <c r="Y13" s="112"/>
      <c r="AB13" s="7">
        <f t="shared" si="0"/>
        <v>0</v>
      </c>
      <c r="AG13" s="235"/>
      <c r="AH13" s="236"/>
      <c r="AI13" s="145"/>
      <c r="AJ13" s="7"/>
      <c r="AK13" s="146">
        <v>171.3</v>
      </c>
      <c r="AL13" s="189">
        <f>SUM(AK8:AK12)</f>
        <v>171.3</v>
      </c>
      <c r="AM13" s="189"/>
      <c r="AO13" s="146">
        <v>56587.07</v>
      </c>
      <c r="AR13" s="150" t="s">
        <v>216</v>
      </c>
      <c r="AS13" s="153"/>
      <c r="AT13" s="185">
        <f>SUM(AS8:AS12)</f>
        <v>66435.61</v>
      </c>
      <c r="AY13" s="239"/>
      <c r="AZ13" s="78"/>
      <c r="BA13" s="78"/>
      <c r="BB13" s="145" t="s">
        <v>223</v>
      </c>
      <c r="BC13" s="146">
        <v>66435.61</v>
      </c>
      <c r="BD13" s="186"/>
      <c r="BE13" s="146">
        <v>66435.61</v>
      </c>
      <c r="BF13" s="189">
        <f t="shared" si="1"/>
        <v>0</v>
      </c>
      <c r="BG13" s="218"/>
      <c r="BH13" s="189"/>
      <c r="BI13" s="145" t="s">
        <v>223</v>
      </c>
      <c r="BJ13" s="146">
        <v>56587.07</v>
      </c>
      <c r="BK13" s="150" t="s">
        <v>216</v>
      </c>
      <c r="BL13" s="153"/>
      <c r="BR13" s="145" t="s">
        <v>223</v>
      </c>
      <c r="BS13" s="146">
        <v>56587.07</v>
      </c>
      <c r="CA13" s="145" t="s">
        <v>223</v>
      </c>
      <c r="CB13" s="146">
        <v>171.3</v>
      </c>
    </row>
    <row r="14" spans="1:80" ht="22.5">
      <c r="A14" s="7">
        <f t="shared" si="2"/>
        <v>7</v>
      </c>
      <c r="B14" s="3" t="s">
        <v>115</v>
      </c>
      <c r="C14" s="166"/>
      <c r="D14" s="114">
        <v>4000</v>
      </c>
      <c r="E14" s="166"/>
      <c r="F14" s="114">
        <v>4000</v>
      </c>
      <c r="G14" s="114"/>
      <c r="H14" s="114">
        <v>4000</v>
      </c>
      <c r="I14" s="166"/>
      <c r="J14" s="116">
        <f>AK8</f>
        <v>0</v>
      </c>
      <c r="K14" s="166"/>
      <c r="L14" s="199">
        <v>4000</v>
      </c>
      <c r="M14" s="199"/>
      <c r="N14" s="116">
        <f>AO8</f>
        <v>4000</v>
      </c>
      <c r="O14" s="3"/>
      <c r="P14" s="116">
        <f>AS8</f>
        <v>4000</v>
      </c>
      <c r="Q14" s="116"/>
      <c r="R14" s="116">
        <v>3000</v>
      </c>
      <c r="S14" s="116"/>
      <c r="T14" s="114">
        <v>3000</v>
      </c>
      <c r="U14" s="112"/>
      <c r="V14" s="114">
        <v>3000</v>
      </c>
      <c r="W14" s="112"/>
      <c r="X14" s="114">
        <v>3000</v>
      </c>
      <c r="Y14" s="112"/>
      <c r="AB14" s="7">
        <f t="shared" si="0"/>
        <v>0</v>
      </c>
      <c r="AG14" s="235"/>
      <c r="AH14" s="236"/>
      <c r="AI14" s="145"/>
      <c r="AJ14" s="145"/>
      <c r="AK14" s="146"/>
      <c r="AL14" s="189"/>
      <c r="AM14" s="189"/>
      <c r="AN14" s="145"/>
      <c r="AO14" s="146"/>
      <c r="AR14" s="150"/>
      <c r="AS14" s="151"/>
      <c r="AT14" s="185"/>
      <c r="AW14" s="150" t="s">
        <v>223</v>
      </c>
      <c r="AX14" s="151">
        <v>66435.61</v>
      </c>
      <c r="AY14" s="239"/>
      <c r="AZ14" s="78"/>
      <c r="BA14" s="78"/>
      <c r="BB14" s="145" t="s">
        <v>216</v>
      </c>
      <c r="BC14" s="146"/>
      <c r="BD14" s="186"/>
      <c r="BE14" s="146"/>
      <c r="BF14" s="189">
        <f t="shared" si="1"/>
        <v>0</v>
      </c>
      <c r="BG14" s="218"/>
      <c r="BH14" s="189"/>
      <c r="BI14" s="145" t="s">
        <v>216</v>
      </c>
      <c r="BJ14" s="146"/>
      <c r="BK14" s="150"/>
      <c r="BL14" s="151"/>
      <c r="BR14" s="145" t="s">
        <v>216</v>
      </c>
      <c r="BS14" s="146"/>
      <c r="CA14" s="145" t="s">
        <v>216</v>
      </c>
      <c r="CB14" s="146"/>
    </row>
    <row r="15" spans="1:80" ht="22.5">
      <c r="A15" s="7">
        <f t="shared" si="2"/>
        <v>8</v>
      </c>
      <c r="B15" s="3" t="s">
        <v>6</v>
      </c>
      <c r="C15" s="166"/>
      <c r="D15" s="114">
        <v>1000</v>
      </c>
      <c r="E15" s="166"/>
      <c r="F15" s="114">
        <v>1000</v>
      </c>
      <c r="G15" s="114"/>
      <c r="H15" s="114">
        <v>500</v>
      </c>
      <c r="I15" s="166"/>
      <c r="J15" s="116">
        <f>AK70</f>
        <v>236.86</v>
      </c>
      <c r="K15" s="166"/>
      <c r="L15" s="199">
        <v>1000</v>
      </c>
      <c r="M15" s="199"/>
      <c r="N15" s="116">
        <f>AO70</f>
        <v>378.34</v>
      </c>
      <c r="O15" s="3"/>
      <c r="P15" s="116">
        <f>AS70</f>
        <v>1486.17</v>
      </c>
      <c r="Q15" s="116"/>
      <c r="R15" s="116">
        <v>2094.38</v>
      </c>
      <c r="S15" s="116"/>
      <c r="T15" s="114">
        <v>540.75</v>
      </c>
      <c r="U15" s="112"/>
      <c r="V15" s="114">
        <v>1521.26</v>
      </c>
      <c r="W15" s="112"/>
      <c r="X15" s="114">
        <v>4807.85</v>
      </c>
      <c r="Y15" s="112"/>
      <c r="AB15" s="7">
        <f t="shared" si="0"/>
        <v>0</v>
      </c>
      <c r="AG15" s="235"/>
      <c r="AH15" s="236"/>
      <c r="AI15" s="145"/>
      <c r="AJ15" s="145" t="s">
        <v>216</v>
      </c>
      <c r="AK15" s="146"/>
      <c r="AL15" s="189"/>
      <c r="AM15" s="189"/>
      <c r="AN15" s="145" t="s">
        <v>216</v>
      </c>
      <c r="AO15" s="146"/>
      <c r="AR15" s="150" t="s">
        <v>216</v>
      </c>
      <c r="AS15" s="151"/>
      <c r="AT15" s="222"/>
      <c r="AW15" s="150" t="s">
        <v>216</v>
      </c>
      <c r="AX15" s="151"/>
      <c r="AY15" s="239"/>
      <c r="AZ15" s="78"/>
      <c r="BA15" s="78"/>
      <c r="BB15" s="145" t="s">
        <v>216</v>
      </c>
      <c r="BC15" s="146"/>
      <c r="BD15" s="186"/>
      <c r="BE15" s="146"/>
      <c r="BF15" s="189">
        <f t="shared" si="1"/>
        <v>0</v>
      </c>
      <c r="BG15" s="218"/>
      <c r="BH15" s="189"/>
      <c r="BI15" s="145" t="s">
        <v>216</v>
      </c>
      <c r="BJ15" s="146"/>
      <c r="BK15" s="150" t="s">
        <v>216</v>
      </c>
      <c r="BL15" s="151"/>
      <c r="BR15" s="145" t="s">
        <v>216</v>
      </c>
      <c r="BS15" s="146"/>
      <c r="CA15" s="145" t="s">
        <v>216</v>
      </c>
      <c r="CB15" s="146"/>
    </row>
    <row r="16" spans="1:80" ht="22.5">
      <c r="A16" s="7">
        <f t="shared" si="2"/>
        <v>9</v>
      </c>
      <c r="B16" s="3" t="s">
        <v>396</v>
      </c>
      <c r="C16" s="166"/>
      <c r="D16" s="114">
        <v>1500</v>
      </c>
      <c r="E16" s="166"/>
      <c r="F16" s="114">
        <v>1500</v>
      </c>
      <c r="G16" s="114"/>
      <c r="H16" s="114">
        <v>400</v>
      </c>
      <c r="I16" s="166"/>
      <c r="J16" s="116">
        <f>AK73</f>
        <v>195.36</v>
      </c>
      <c r="K16" s="166"/>
      <c r="L16" s="199">
        <v>1500</v>
      </c>
      <c r="M16" s="199"/>
      <c r="N16" s="116">
        <f>AO73</f>
        <v>479.84</v>
      </c>
      <c r="O16" s="3"/>
      <c r="P16" s="116">
        <f>AS73</f>
        <v>1358.24</v>
      </c>
      <c r="Q16" s="116"/>
      <c r="R16" s="116">
        <v>232.77</v>
      </c>
      <c r="S16" s="116"/>
      <c r="T16" s="114">
        <v>992.24</v>
      </c>
      <c r="U16" s="112"/>
      <c r="V16" s="114">
        <v>2748.79</v>
      </c>
      <c r="W16" s="112"/>
      <c r="X16" s="114">
        <v>1514.07</v>
      </c>
      <c r="Y16" s="112"/>
      <c r="AB16" s="7">
        <f t="shared" si="0"/>
        <v>0</v>
      </c>
      <c r="AG16" s="235"/>
      <c r="AH16" s="236"/>
      <c r="AI16" s="145"/>
      <c r="AJ16" s="145" t="s">
        <v>224</v>
      </c>
      <c r="AK16" s="146"/>
      <c r="AL16" s="189"/>
      <c r="AM16" s="189"/>
      <c r="AN16" s="145" t="s">
        <v>224</v>
      </c>
      <c r="AO16" s="146"/>
      <c r="AR16" s="150" t="s">
        <v>224</v>
      </c>
      <c r="AS16" s="151"/>
      <c r="AT16" s="222"/>
      <c r="AY16" s="239"/>
      <c r="AZ16" s="78"/>
      <c r="BA16" s="78"/>
      <c r="BB16" s="145" t="s">
        <v>224</v>
      </c>
      <c r="BC16" s="146"/>
      <c r="BD16" s="186"/>
      <c r="BE16" s="146"/>
      <c r="BF16" s="189">
        <f t="shared" si="1"/>
        <v>0</v>
      </c>
      <c r="BG16" s="218"/>
      <c r="BH16" s="189"/>
      <c r="BI16" s="145" t="s">
        <v>224</v>
      </c>
      <c r="BJ16" s="146"/>
      <c r="BK16" s="150" t="s">
        <v>224</v>
      </c>
      <c r="BL16" s="151"/>
      <c r="BR16" s="145" t="s">
        <v>224</v>
      </c>
      <c r="BS16" s="146"/>
      <c r="CA16" s="145" t="s">
        <v>224</v>
      </c>
      <c r="CB16" s="146"/>
    </row>
    <row r="17" spans="1:80" ht="22.5">
      <c r="A17" s="7">
        <f t="shared" si="2"/>
        <v>10</v>
      </c>
      <c r="B17" s="3" t="s">
        <v>7</v>
      </c>
      <c r="C17" s="166"/>
      <c r="D17" s="114">
        <v>1500</v>
      </c>
      <c r="E17" s="166"/>
      <c r="F17" s="114">
        <v>1500</v>
      </c>
      <c r="G17" s="114"/>
      <c r="H17" s="114">
        <v>6500</v>
      </c>
      <c r="I17" s="166"/>
      <c r="J17" s="116">
        <f>AK71</f>
        <v>5596.07</v>
      </c>
      <c r="K17" s="166"/>
      <c r="L17" s="199">
        <v>1750</v>
      </c>
      <c r="M17" s="199"/>
      <c r="N17" s="116">
        <f>AO71</f>
        <v>2101.94</v>
      </c>
      <c r="O17" s="3"/>
      <c r="P17" s="116">
        <f>AS71</f>
        <v>1130.58</v>
      </c>
      <c r="Q17" s="116"/>
      <c r="R17" s="116">
        <v>1303.3</v>
      </c>
      <c r="S17" s="116"/>
      <c r="T17" s="114">
        <v>2220.35</v>
      </c>
      <c r="U17" s="112"/>
      <c r="V17" s="114">
        <v>3320.5</v>
      </c>
      <c r="W17" s="112"/>
      <c r="X17" s="114">
        <v>997.46</v>
      </c>
      <c r="Y17" s="112"/>
      <c r="AB17" s="7">
        <f t="shared" si="0"/>
        <v>0</v>
      </c>
      <c r="AG17" s="235"/>
      <c r="AH17" s="236"/>
      <c r="AI17" s="156"/>
      <c r="AJ17" s="156" t="s">
        <v>216</v>
      </c>
      <c r="AK17" s="146"/>
      <c r="AL17" s="189"/>
      <c r="AM17" s="189"/>
      <c r="AN17" s="156" t="s">
        <v>216</v>
      </c>
      <c r="AO17" s="146"/>
      <c r="AR17" s="152" t="s">
        <v>216</v>
      </c>
      <c r="AS17" s="151"/>
      <c r="AT17" s="222"/>
      <c r="AW17" s="150" t="s">
        <v>224</v>
      </c>
      <c r="AX17" s="151"/>
      <c r="AY17" s="239"/>
      <c r="AZ17" s="78"/>
      <c r="BA17" s="78"/>
      <c r="BB17" s="156" t="s">
        <v>216</v>
      </c>
      <c r="BC17" s="146"/>
      <c r="BD17" s="186"/>
      <c r="BE17" s="146"/>
      <c r="BF17" s="189">
        <f t="shared" si="1"/>
        <v>0</v>
      </c>
      <c r="BG17" s="218"/>
      <c r="BH17" s="189"/>
      <c r="BI17" s="156" t="s">
        <v>216</v>
      </c>
      <c r="BJ17" s="146"/>
      <c r="BK17" s="152" t="s">
        <v>216</v>
      </c>
      <c r="BL17" s="151"/>
      <c r="BR17" s="156" t="s">
        <v>216</v>
      </c>
      <c r="BS17" s="146"/>
      <c r="CA17" s="156" t="s">
        <v>216</v>
      </c>
      <c r="CB17" s="146"/>
    </row>
    <row r="18" spans="1:80" ht="22.5">
      <c r="A18" s="7">
        <f t="shared" si="2"/>
        <v>11</v>
      </c>
      <c r="B18" s="3" t="s">
        <v>116</v>
      </c>
      <c r="D18" s="256"/>
      <c r="F18" s="256"/>
      <c r="G18" s="256"/>
      <c r="H18" s="256"/>
      <c r="I18" s="166"/>
      <c r="J18" s="116">
        <f>AK72</f>
        <v>0</v>
      </c>
      <c r="K18" s="166"/>
      <c r="L18" s="196"/>
      <c r="M18" s="197"/>
      <c r="N18" s="116">
        <f>AO72</f>
        <v>0</v>
      </c>
      <c r="O18" s="3"/>
      <c r="P18" s="116">
        <f>AS72</f>
        <v>0</v>
      </c>
      <c r="Q18" s="116"/>
      <c r="R18" s="116">
        <v>461.54</v>
      </c>
      <c r="S18" s="116"/>
      <c r="T18" s="114">
        <v>191.94</v>
      </c>
      <c r="U18" s="112"/>
      <c r="V18" s="114">
        <v>207.4</v>
      </c>
      <c r="W18" s="112"/>
      <c r="X18" s="114">
        <f>-1845.5</f>
        <v>-1845.5</v>
      </c>
      <c r="Y18" s="112"/>
      <c r="AB18" s="7">
        <f t="shared" si="0"/>
        <v>0</v>
      </c>
      <c r="AG18" s="235"/>
      <c r="AH18" s="236"/>
      <c r="AI18" s="145"/>
      <c r="AJ18" s="145" t="s">
        <v>225</v>
      </c>
      <c r="AK18" s="146">
        <v>288.78</v>
      </c>
      <c r="AL18" s="189"/>
      <c r="AM18" s="189"/>
      <c r="AN18" s="145" t="s">
        <v>225</v>
      </c>
      <c r="AO18" s="146">
        <v>804.6</v>
      </c>
      <c r="AR18" s="150" t="s">
        <v>225</v>
      </c>
      <c r="AS18" s="151">
        <f>BC18</f>
        <v>1491</v>
      </c>
      <c r="AT18" s="222"/>
      <c r="AW18" s="152" t="s">
        <v>216</v>
      </c>
      <c r="AX18" s="151"/>
      <c r="AY18" s="239"/>
      <c r="AZ18" s="78"/>
      <c r="BA18" s="78"/>
      <c r="BB18" s="145" t="s">
        <v>225</v>
      </c>
      <c r="BC18" s="146">
        <v>1491</v>
      </c>
      <c r="BD18" s="186"/>
      <c r="BE18" s="146">
        <v>1491</v>
      </c>
      <c r="BF18" s="189">
        <f t="shared" si="1"/>
        <v>0</v>
      </c>
      <c r="BG18" s="218"/>
      <c r="BH18" s="189"/>
      <c r="BI18" s="145" t="s">
        <v>225</v>
      </c>
      <c r="BJ18" s="146">
        <v>804.6</v>
      </c>
      <c r="BK18" s="150" t="s">
        <v>225</v>
      </c>
      <c r="BL18" s="151">
        <f>BV18</f>
        <v>0</v>
      </c>
      <c r="BR18" s="145" t="s">
        <v>225</v>
      </c>
      <c r="BS18" s="146">
        <v>804.6</v>
      </c>
      <c r="CA18" s="145" t="s">
        <v>225</v>
      </c>
      <c r="CB18" s="146">
        <v>288.78</v>
      </c>
    </row>
    <row r="19" spans="1:80" ht="22.5">
      <c r="A19" s="7">
        <f t="shared" si="2"/>
        <v>12</v>
      </c>
      <c r="B19" s="3" t="s">
        <v>118</v>
      </c>
      <c r="C19" s="166"/>
      <c r="D19" s="114">
        <v>2000</v>
      </c>
      <c r="E19" s="166"/>
      <c r="F19" s="114">
        <v>2000</v>
      </c>
      <c r="G19" s="114"/>
      <c r="H19" s="114">
        <v>250</v>
      </c>
      <c r="I19" s="166"/>
      <c r="J19" s="116">
        <f>AK27</f>
        <v>137.14</v>
      </c>
      <c r="K19" s="166"/>
      <c r="L19" s="199">
        <v>2000</v>
      </c>
      <c r="M19" s="199"/>
      <c r="N19" s="116">
        <f>AO27</f>
        <v>1657.87</v>
      </c>
      <c r="O19" s="3"/>
      <c r="P19" s="116">
        <f>AS27</f>
        <v>687.63</v>
      </c>
      <c r="Q19" s="116"/>
      <c r="R19" s="116">
        <v>1741.38</v>
      </c>
      <c r="S19" s="116"/>
      <c r="T19" s="114">
        <v>1191.41</v>
      </c>
      <c r="U19" s="112"/>
      <c r="V19" s="114">
        <v>2517.71</v>
      </c>
      <c r="W19" s="112"/>
      <c r="X19" s="114">
        <v>2355.12</v>
      </c>
      <c r="Y19" s="112"/>
      <c r="AB19" s="7">
        <f t="shared" si="0"/>
        <v>0</v>
      </c>
      <c r="AG19" s="235"/>
      <c r="AH19" s="236"/>
      <c r="AI19" s="145"/>
      <c r="AJ19" s="145" t="s">
        <v>226</v>
      </c>
      <c r="AK19" s="146">
        <v>0</v>
      </c>
      <c r="AL19" s="189"/>
      <c r="AM19" s="189"/>
      <c r="AN19" s="145" t="s">
        <v>226</v>
      </c>
      <c r="AO19" s="146">
        <v>93.55</v>
      </c>
      <c r="AR19" s="150" t="s">
        <v>226</v>
      </c>
      <c r="AS19" s="151">
        <v>0</v>
      </c>
      <c r="AT19" s="222"/>
      <c r="AW19" s="150" t="s">
        <v>225</v>
      </c>
      <c r="AX19" s="151">
        <v>1491</v>
      </c>
      <c r="AY19" s="239"/>
      <c r="AZ19" s="78"/>
      <c r="BA19" s="78"/>
      <c r="BB19" s="145" t="s">
        <v>226</v>
      </c>
      <c r="BC19" s="146">
        <v>0</v>
      </c>
      <c r="BD19" s="186"/>
      <c r="BE19" s="146">
        <v>0</v>
      </c>
      <c r="BF19" s="189">
        <f t="shared" si="1"/>
        <v>0</v>
      </c>
      <c r="BG19" s="218"/>
      <c r="BH19" s="189"/>
      <c r="BI19" s="145" t="s">
        <v>226</v>
      </c>
      <c r="BJ19" s="146">
        <v>93.55</v>
      </c>
      <c r="BK19" s="150" t="s">
        <v>226</v>
      </c>
      <c r="BL19" s="151">
        <v>0</v>
      </c>
      <c r="BR19" s="145" t="s">
        <v>226</v>
      </c>
      <c r="BS19" s="146">
        <v>93.55</v>
      </c>
      <c r="CA19" s="145" t="s">
        <v>226</v>
      </c>
      <c r="CB19" s="146">
        <v>0</v>
      </c>
    </row>
    <row r="20" spans="1:80" ht="22.5">
      <c r="A20" s="7">
        <f t="shared" si="2"/>
        <v>13</v>
      </c>
      <c r="B20" s="3" t="s">
        <v>119</v>
      </c>
      <c r="C20" s="166"/>
      <c r="D20" s="114">
        <v>1000</v>
      </c>
      <c r="E20" s="166"/>
      <c r="F20" s="114">
        <v>1000</v>
      </c>
      <c r="G20" s="114"/>
      <c r="H20" s="114">
        <v>500</v>
      </c>
      <c r="I20" s="166"/>
      <c r="J20" s="116">
        <f>AK18</f>
        <v>288.78</v>
      </c>
      <c r="K20" s="166"/>
      <c r="L20" s="199">
        <v>650</v>
      </c>
      <c r="M20" s="199"/>
      <c r="N20" s="116">
        <f>AO18</f>
        <v>804.6</v>
      </c>
      <c r="O20" s="3"/>
      <c r="P20" s="116">
        <f>AS18</f>
        <v>1491</v>
      </c>
      <c r="Q20" s="116"/>
      <c r="R20" s="116">
        <v>414.47</v>
      </c>
      <c r="S20" s="116"/>
      <c r="T20" s="114">
        <v>615.25</v>
      </c>
      <c r="U20" s="112"/>
      <c r="V20" s="114">
        <v>526.98</v>
      </c>
      <c r="W20" s="112"/>
      <c r="X20" s="114">
        <v>675.52</v>
      </c>
      <c r="Y20" s="112"/>
      <c r="AB20" s="7">
        <f t="shared" si="0"/>
        <v>0</v>
      </c>
      <c r="AG20" s="235"/>
      <c r="AH20" s="236"/>
      <c r="AI20" s="145"/>
      <c r="AJ20" s="145" t="s">
        <v>227</v>
      </c>
      <c r="AK20" s="146">
        <v>0</v>
      </c>
      <c r="AL20" s="189"/>
      <c r="AM20" s="189"/>
      <c r="AN20" s="145" t="s">
        <v>227</v>
      </c>
      <c r="AO20" s="146">
        <v>0</v>
      </c>
      <c r="AR20" s="150" t="s">
        <v>227</v>
      </c>
      <c r="AS20" s="151">
        <v>0</v>
      </c>
      <c r="AT20" s="222"/>
      <c r="AW20" s="150" t="s">
        <v>226</v>
      </c>
      <c r="AX20" s="151">
        <v>0</v>
      </c>
      <c r="AY20" s="239"/>
      <c r="AZ20" s="78"/>
      <c r="BA20" s="78"/>
      <c r="BB20" s="145" t="s">
        <v>227</v>
      </c>
      <c r="BC20" s="146">
        <v>0</v>
      </c>
      <c r="BD20" s="186"/>
      <c r="BE20" s="146">
        <v>0</v>
      </c>
      <c r="BF20" s="189">
        <f t="shared" si="1"/>
        <v>0</v>
      </c>
      <c r="BG20" s="218"/>
      <c r="BH20" s="189"/>
      <c r="BI20" s="145" t="s">
        <v>227</v>
      </c>
      <c r="BJ20" s="146">
        <v>0</v>
      </c>
      <c r="BK20" s="150" t="s">
        <v>227</v>
      </c>
      <c r="BL20" s="151">
        <v>0</v>
      </c>
      <c r="BR20" s="145" t="s">
        <v>227</v>
      </c>
      <c r="BS20" s="146">
        <v>0</v>
      </c>
      <c r="CA20" s="145" t="s">
        <v>227</v>
      </c>
      <c r="CB20" s="146">
        <v>0</v>
      </c>
    </row>
    <row r="21" spans="1:80" ht="22.5">
      <c r="A21" s="7">
        <f t="shared" si="2"/>
        <v>14</v>
      </c>
      <c r="B21" s="3" t="s">
        <v>196</v>
      </c>
      <c r="C21" s="166"/>
      <c r="D21" s="256"/>
      <c r="E21" s="166"/>
      <c r="F21" s="256"/>
      <c r="G21" s="256"/>
      <c r="H21" s="256"/>
      <c r="I21" s="166"/>
      <c r="J21" s="116"/>
      <c r="K21" s="166"/>
      <c r="L21" s="199">
        <v>0</v>
      </c>
      <c r="M21" s="199"/>
      <c r="N21" s="116"/>
      <c r="O21" s="3"/>
      <c r="P21" s="116"/>
      <c r="Q21" s="116"/>
      <c r="R21" s="116"/>
      <c r="S21" s="116"/>
      <c r="T21" s="114">
        <f>1184.32</f>
        <v>1184.32</v>
      </c>
      <c r="U21" s="112"/>
      <c r="V21" s="114">
        <f>-1161.45</f>
        <v>-1161.45</v>
      </c>
      <c r="W21" s="112"/>
      <c r="X21" s="114"/>
      <c r="Y21" s="112"/>
      <c r="AB21" s="7">
        <f t="shared" si="0"/>
        <v>0</v>
      </c>
      <c r="AG21" s="235"/>
      <c r="AH21" s="236"/>
      <c r="AI21" s="145"/>
      <c r="AJ21" s="145" t="s">
        <v>228</v>
      </c>
      <c r="AK21" s="157">
        <v>0</v>
      </c>
      <c r="AL21" s="189"/>
      <c r="AM21" s="189"/>
      <c r="AN21" s="145" t="s">
        <v>228</v>
      </c>
      <c r="AO21" s="157">
        <v>0</v>
      </c>
      <c r="AR21" s="150" t="s">
        <v>228</v>
      </c>
      <c r="AS21" s="151">
        <v>0</v>
      </c>
      <c r="AT21" s="222"/>
      <c r="AW21" s="150" t="s">
        <v>227</v>
      </c>
      <c r="AX21" s="151">
        <v>0</v>
      </c>
      <c r="AY21" s="239"/>
      <c r="AZ21" s="78"/>
      <c r="BA21" s="78"/>
      <c r="BB21" s="145" t="s">
        <v>228</v>
      </c>
      <c r="BC21" s="157">
        <v>0</v>
      </c>
      <c r="BD21" s="186"/>
      <c r="BE21" s="157">
        <v>0</v>
      </c>
      <c r="BF21" s="189">
        <f t="shared" si="1"/>
        <v>0</v>
      </c>
      <c r="BG21" s="218"/>
      <c r="BH21" s="189"/>
      <c r="BI21" s="145" t="s">
        <v>228</v>
      </c>
      <c r="BJ21" s="157">
        <v>0</v>
      </c>
      <c r="BK21" s="150" t="s">
        <v>228</v>
      </c>
      <c r="BL21" s="151">
        <v>0</v>
      </c>
      <c r="BR21" s="145" t="s">
        <v>228</v>
      </c>
      <c r="BS21" s="157">
        <v>0</v>
      </c>
      <c r="CA21" s="145" t="s">
        <v>228</v>
      </c>
      <c r="CB21" s="157">
        <v>0</v>
      </c>
    </row>
    <row r="22" spans="1:80" ht="22.5">
      <c r="A22" s="7">
        <f t="shared" si="2"/>
        <v>15</v>
      </c>
      <c r="B22" s="3" t="s">
        <v>120</v>
      </c>
      <c r="C22" s="166"/>
      <c r="D22" s="257">
        <v>500</v>
      </c>
      <c r="E22" s="166"/>
      <c r="F22" s="257">
        <v>500</v>
      </c>
      <c r="G22" s="257"/>
      <c r="H22" s="257">
        <v>0</v>
      </c>
      <c r="I22" s="168"/>
      <c r="J22" s="116">
        <f>AK19+AK20</f>
        <v>0</v>
      </c>
      <c r="K22" s="168"/>
      <c r="L22" s="199">
        <v>700</v>
      </c>
      <c r="M22" s="199"/>
      <c r="N22" s="116">
        <f>AO19+AO20</f>
        <v>93.55</v>
      </c>
      <c r="O22" s="3"/>
      <c r="P22" s="116">
        <f>AS19+AS20</f>
        <v>0</v>
      </c>
      <c r="Q22" s="116"/>
      <c r="R22" s="116">
        <v>-103.84</v>
      </c>
      <c r="S22" s="116"/>
      <c r="T22" s="114">
        <f>81.31+2107.21</f>
        <v>2188.52</v>
      </c>
      <c r="U22" s="112"/>
      <c r="V22" s="114">
        <v>294.51</v>
      </c>
      <c r="W22" s="112"/>
      <c r="X22" s="114">
        <v>95.2</v>
      </c>
      <c r="Y22" s="112"/>
      <c r="AB22" s="7">
        <f t="shared" si="0"/>
        <v>0</v>
      </c>
      <c r="AG22" s="235"/>
      <c r="AH22" s="236"/>
      <c r="AI22" s="145"/>
      <c r="AJ22" s="7"/>
      <c r="AK22" s="146">
        <v>288.78</v>
      </c>
      <c r="AL22" s="189">
        <f>SUM(AK18:AK21)</f>
        <v>288.78</v>
      </c>
      <c r="AM22" s="189"/>
      <c r="AO22" s="146">
        <v>898.15</v>
      </c>
      <c r="AR22" s="150" t="s">
        <v>216</v>
      </c>
      <c r="AS22" s="153"/>
      <c r="AT22" s="222"/>
      <c r="AW22" s="150" t="s">
        <v>228</v>
      </c>
      <c r="AX22" s="153">
        <v>0</v>
      </c>
      <c r="AY22" s="239"/>
      <c r="AZ22" s="78"/>
      <c r="BA22" s="78"/>
      <c r="BB22" s="145" t="s">
        <v>229</v>
      </c>
      <c r="BC22" s="146">
        <v>1491</v>
      </c>
      <c r="BD22" s="186"/>
      <c r="BE22" s="146">
        <v>1491</v>
      </c>
      <c r="BF22" s="189">
        <f t="shared" si="1"/>
        <v>0</v>
      </c>
      <c r="BG22" s="218"/>
      <c r="BH22" s="189"/>
      <c r="BI22" s="145" t="s">
        <v>229</v>
      </c>
      <c r="BJ22" s="146">
        <v>898.15</v>
      </c>
      <c r="BK22" s="150" t="s">
        <v>216</v>
      </c>
      <c r="BL22" s="153"/>
      <c r="BR22" s="145" t="s">
        <v>229</v>
      </c>
      <c r="BS22" s="146">
        <v>898.15</v>
      </c>
      <c r="CA22" s="145" t="s">
        <v>229</v>
      </c>
      <c r="CB22" s="146">
        <v>288.78</v>
      </c>
    </row>
    <row r="23" spans="1:80" ht="24" thickBot="1">
      <c r="A23" s="7">
        <f t="shared" si="2"/>
        <v>16</v>
      </c>
      <c r="B23" s="3" t="s">
        <v>121</v>
      </c>
      <c r="C23" s="168"/>
      <c r="D23" s="258"/>
      <c r="E23" s="168"/>
      <c r="F23" s="258"/>
      <c r="G23" s="258"/>
      <c r="H23" s="258"/>
      <c r="I23" s="164"/>
      <c r="J23" s="116"/>
      <c r="K23" s="164"/>
      <c r="L23" s="196"/>
      <c r="M23" s="197"/>
      <c r="N23" s="116"/>
      <c r="O23" s="3"/>
      <c r="P23" s="116"/>
      <c r="Q23" s="116"/>
      <c r="R23" s="116"/>
      <c r="S23" s="116"/>
      <c r="T23" s="114"/>
      <c r="U23" s="112"/>
      <c r="V23" s="114"/>
      <c r="W23" s="112"/>
      <c r="X23" s="114"/>
      <c r="Y23" s="112"/>
      <c r="AB23" s="7">
        <f t="shared" si="0"/>
        <v>0</v>
      </c>
      <c r="AG23" s="235"/>
      <c r="AH23" s="236"/>
      <c r="AI23" s="145"/>
      <c r="AJ23" s="145" t="s">
        <v>229</v>
      </c>
      <c r="AK23" s="146"/>
      <c r="AL23" s="189"/>
      <c r="AM23" s="189"/>
      <c r="AN23" s="145" t="s">
        <v>229</v>
      </c>
      <c r="AO23" s="146"/>
      <c r="AR23" s="150" t="s">
        <v>229</v>
      </c>
      <c r="AS23" s="151"/>
      <c r="AT23" s="185">
        <f>SUM(AS18:AS22)</f>
        <v>1491</v>
      </c>
      <c r="AY23" s="239"/>
      <c r="AZ23" s="78"/>
      <c r="BA23" s="78"/>
      <c r="BB23" s="145" t="s">
        <v>216</v>
      </c>
      <c r="BC23" s="146"/>
      <c r="BD23" s="186"/>
      <c r="BE23" s="146"/>
      <c r="BF23" s="189">
        <f t="shared" si="1"/>
        <v>0</v>
      </c>
      <c r="BG23" s="218"/>
      <c r="BH23" s="189"/>
      <c r="BI23" s="145" t="s">
        <v>216</v>
      </c>
      <c r="BJ23" s="146"/>
      <c r="BK23" s="150" t="s">
        <v>229</v>
      </c>
      <c r="BL23" s="151"/>
      <c r="BR23" s="145" t="s">
        <v>216</v>
      </c>
      <c r="BS23" s="146"/>
      <c r="CA23" s="145" t="s">
        <v>216</v>
      </c>
      <c r="CB23" s="146"/>
    </row>
    <row r="24" spans="1:80" ht="24" thickBot="1" thickTop="1">
      <c r="A24" s="7">
        <f t="shared" si="2"/>
        <v>17</v>
      </c>
      <c r="B24" s="26" t="s">
        <v>134</v>
      </c>
      <c r="C24" s="247"/>
      <c r="D24" s="184">
        <f>SUM(D13:D23)</f>
        <v>11500</v>
      </c>
      <c r="E24" s="247"/>
      <c r="F24" s="184">
        <f>SUM(F13:F23)</f>
        <v>11500</v>
      </c>
      <c r="G24" s="184"/>
      <c r="H24" s="184">
        <f>SUM(H13:H23)</f>
        <v>12150</v>
      </c>
      <c r="I24" s="182"/>
      <c r="J24" s="119">
        <f>SUM(J13:J23)</f>
        <v>6454.21</v>
      </c>
      <c r="K24" s="182"/>
      <c r="L24" s="184">
        <f>SUM(L13:L23)</f>
        <v>11600</v>
      </c>
      <c r="M24" s="184"/>
      <c r="N24" s="119">
        <f>SUM(N13:N23)</f>
        <v>9516.140000000001</v>
      </c>
      <c r="O24" s="26"/>
      <c r="P24" s="119">
        <f>SUM(P13:P23)</f>
        <v>10153.619999999999</v>
      </c>
      <c r="Q24" s="119"/>
      <c r="R24" s="119">
        <f>SUM(R13:R23)</f>
        <v>9144</v>
      </c>
      <c r="S24" s="119"/>
      <c r="T24" s="117">
        <f>SUM(T13:T23)</f>
        <v>12124.779999999999</v>
      </c>
      <c r="U24" s="118"/>
      <c r="V24" s="117">
        <f>SUM(V13:V23)</f>
        <v>12975.699999999999</v>
      </c>
      <c r="W24" s="118"/>
      <c r="X24" s="117">
        <f>SUM(X13:X23)</f>
        <v>11599.720000000001</v>
      </c>
      <c r="Y24" s="118"/>
      <c r="AB24" s="7">
        <f t="shared" si="0"/>
        <v>0</v>
      </c>
      <c r="AG24" s="235"/>
      <c r="AH24" s="236"/>
      <c r="AI24" s="145"/>
      <c r="AJ24" s="7"/>
      <c r="AK24" s="146"/>
      <c r="AL24" s="189"/>
      <c r="AM24" s="189"/>
      <c r="AO24" s="146"/>
      <c r="AR24" s="150" t="s">
        <v>216</v>
      </c>
      <c r="AS24" s="151"/>
      <c r="AT24" s="222"/>
      <c r="AW24" s="150" t="s">
        <v>229</v>
      </c>
      <c r="AX24" s="151">
        <v>1491</v>
      </c>
      <c r="AY24" s="239"/>
      <c r="AZ24" s="78"/>
      <c r="BA24" s="78"/>
      <c r="BB24" s="145" t="s">
        <v>216</v>
      </c>
      <c r="BC24" s="146"/>
      <c r="BD24" s="186"/>
      <c r="BE24" s="146"/>
      <c r="BF24" s="189">
        <f t="shared" si="1"/>
        <v>0</v>
      </c>
      <c r="BG24" s="218"/>
      <c r="BH24" s="189"/>
      <c r="BI24" s="145" t="s">
        <v>216</v>
      </c>
      <c r="BJ24" s="146"/>
      <c r="BK24" s="150" t="s">
        <v>216</v>
      </c>
      <c r="BL24" s="151"/>
      <c r="BR24" s="145" t="s">
        <v>216</v>
      </c>
      <c r="BS24" s="146"/>
      <c r="CA24" s="145" t="s">
        <v>216</v>
      </c>
      <c r="CB24" s="146"/>
    </row>
    <row r="25" spans="1:80" ht="23.25" thickTop="1">
      <c r="A25" s="7">
        <f t="shared" si="2"/>
        <v>18</v>
      </c>
      <c r="B25" s="10" t="s">
        <v>80</v>
      </c>
      <c r="D25" s="259"/>
      <c r="F25" s="259"/>
      <c r="G25" s="259"/>
      <c r="H25" s="259"/>
      <c r="I25" s="169"/>
      <c r="J25" s="116"/>
      <c r="K25" s="169"/>
      <c r="L25" s="225"/>
      <c r="M25" s="200"/>
      <c r="N25" s="116"/>
      <c r="O25" s="10"/>
      <c r="P25" s="116"/>
      <c r="Q25" s="116"/>
      <c r="R25" s="116"/>
      <c r="S25" s="116"/>
      <c r="T25" s="114"/>
      <c r="U25" s="112"/>
      <c r="V25" s="114"/>
      <c r="W25" s="112"/>
      <c r="X25" s="114"/>
      <c r="Y25" s="112"/>
      <c r="AB25" s="7">
        <f t="shared" si="0"/>
        <v>0</v>
      </c>
      <c r="AG25" s="235"/>
      <c r="AH25" s="236"/>
      <c r="AI25" s="145"/>
      <c r="AJ25" s="145" t="s">
        <v>230</v>
      </c>
      <c r="AK25" s="146"/>
      <c r="AL25" s="189"/>
      <c r="AM25" s="189"/>
      <c r="AN25" s="145" t="s">
        <v>230</v>
      </c>
      <c r="AO25" s="146"/>
      <c r="AR25" s="150" t="s">
        <v>230</v>
      </c>
      <c r="AS25" s="151"/>
      <c r="AT25" s="222"/>
      <c r="AY25" s="239"/>
      <c r="AZ25" s="78"/>
      <c r="BA25" s="78"/>
      <c r="BB25" s="145" t="s">
        <v>230</v>
      </c>
      <c r="BC25" s="146"/>
      <c r="BD25" s="186"/>
      <c r="BE25" s="146"/>
      <c r="BF25" s="189">
        <f t="shared" si="1"/>
        <v>0</v>
      </c>
      <c r="BG25" s="218"/>
      <c r="BH25" s="189"/>
      <c r="BI25" s="145" t="s">
        <v>230</v>
      </c>
      <c r="BJ25" s="146"/>
      <c r="BK25" s="150" t="s">
        <v>230</v>
      </c>
      <c r="BL25" s="151"/>
      <c r="BR25" s="145" t="s">
        <v>230</v>
      </c>
      <c r="BS25" s="146"/>
      <c r="CA25" s="145" t="s">
        <v>230</v>
      </c>
      <c r="CB25" s="146"/>
    </row>
    <row r="26" spans="1:80" ht="22.5">
      <c r="A26" s="7">
        <f t="shared" si="2"/>
        <v>19</v>
      </c>
      <c r="B26" s="3" t="s">
        <v>70</v>
      </c>
      <c r="D26" s="114">
        <v>83000</v>
      </c>
      <c r="E26" s="351"/>
      <c r="F26" s="114">
        <v>83000</v>
      </c>
      <c r="G26" s="114"/>
      <c r="H26" s="114">
        <v>83000</v>
      </c>
      <c r="I26" s="169"/>
      <c r="J26" s="116">
        <f>AK100</f>
        <v>43269.44</v>
      </c>
      <c r="K26" s="169"/>
      <c r="L26" s="196">
        <v>83000</v>
      </c>
      <c r="M26" s="196"/>
      <c r="N26" s="116">
        <f>AO100</f>
        <v>53575.88</v>
      </c>
      <c r="O26" s="3"/>
      <c r="P26" s="116">
        <f>AS100</f>
        <v>51315.77</v>
      </c>
      <c r="Q26" s="116"/>
      <c r="R26" s="116">
        <v>59390.68</v>
      </c>
      <c r="S26" s="116"/>
      <c r="T26" s="114">
        <f>100435.68</f>
        <v>100435.68</v>
      </c>
      <c r="U26" s="112"/>
      <c r="V26" s="114">
        <v>105707.66</v>
      </c>
      <c r="W26" s="112"/>
      <c r="X26" s="114">
        <v>91206.27</v>
      </c>
      <c r="Y26" s="112"/>
      <c r="AB26" s="7">
        <f t="shared" si="0"/>
        <v>0</v>
      </c>
      <c r="AG26" s="235"/>
      <c r="AH26" s="236"/>
      <c r="AI26" s="156"/>
      <c r="AJ26" s="156" t="s">
        <v>216</v>
      </c>
      <c r="AK26" s="146"/>
      <c r="AL26" s="189"/>
      <c r="AM26" s="189"/>
      <c r="AN26" s="156" t="s">
        <v>216</v>
      </c>
      <c r="AO26" s="146"/>
      <c r="AR26" s="152" t="s">
        <v>216</v>
      </c>
      <c r="AS26" s="151"/>
      <c r="AT26" s="222"/>
      <c r="AY26" s="239"/>
      <c r="AZ26" s="78"/>
      <c r="BA26" s="78"/>
      <c r="BB26" s="156" t="s">
        <v>216</v>
      </c>
      <c r="BC26" s="146"/>
      <c r="BD26" s="186"/>
      <c r="BE26" s="146"/>
      <c r="BF26" s="189">
        <f t="shared" si="1"/>
        <v>0</v>
      </c>
      <c r="BG26" s="218"/>
      <c r="BH26" s="189"/>
      <c r="BI26" s="156" t="s">
        <v>216</v>
      </c>
      <c r="BJ26" s="146"/>
      <c r="BK26" s="152" t="s">
        <v>216</v>
      </c>
      <c r="BL26" s="151"/>
      <c r="BR26" s="156" t="s">
        <v>216</v>
      </c>
      <c r="BS26" s="146"/>
      <c r="CA26" s="156" t="s">
        <v>216</v>
      </c>
      <c r="CB26" s="146"/>
    </row>
    <row r="27" spans="1:80" ht="23.25">
      <c r="A27" s="7">
        <f t="shared" si="2"/>
        <v>20</v>
      </c>
      <c r="B27" s="15" t="s">
        <v>40</v>
      </c>
      <c r="C27" s="164"/>
      <c r="D27" s="114">
        <v>2000</v>
      </c>
      <c r="E27" s="164"/>
      <c r="F27" s="114">
        <v>2000</v>
      </c>
      <c r="G27" s="114"/>
      <c r="H27" s="114">
        <v>2000</v>
      </c>
      <c r="I27" s="170"/>
      <c r="J27" s="116">
        <f>AK42</f>
        <v>0</v>
      </c>
      <c r="K27" s="170"/>
      <c r="L27" s="201">
        <v>2000</v>
      </c>
      <c r="M27" s="201"/>
      <c r="N27" s="116">
        <f>AO42</f>
        <v>2100</v>
      </c>
      <c r="O27" s="15"/>
      <c r="P27" s="116">
        <f>AS42</f>
        <v>1740</v>
      </c>
      <c r="Q27" s="116"/>
      <c r="R27" s="116">
        <v>1575</v>
      </c>
      <c r="S27" s="116"/>
      <c r="T27" s="114">
        <v>1260</v>
      </c>
      <c r="U27" s="112"/>
      <c r="V27" s="114">
        <v>4430.17</v>
      </c>
      <c r="W27" s="112"/>
      <c r="X27" s="114">
        <f>1637.5</f>
        <v>1637.5</v>
      </c>
      <c r="Y27" s="112"/>
      <c r="AB27" s="7">
        <f t="shared" si="0"/>
        <v>0</v>
      </c>
      <c r="AG27" s="235"/>
      <c r="AH27" s="236"/>
      <c r="AI27" s="145"/>
      <c r="AJ27" s="145" t="s">
        <v>118</v>
      </c>
      <c r="AK27" s="157">
        <v>137.14</v>
      </c>
      <c r="AL27" s="189"/>
      <c r="AM27" s="189"/>
      <c r="AN27" s="145" t="s">
        <v>118</v>
      </c>
      <c r="AO27" s="157">
        <v>1657.87</v>
      </c>
      <c r="AR27" s="150" t="s">
        <v>118</v>
      </c>
      <c r="AS27" s="151">
        <f>BC27</f>
        <v>687.63</v>
      </c>
      <c r="AT27" s="185">
        <f>AS27</f>
        <v>687.63</v>
      </c>
      <c r="AW27" s="150" t="s">
        <v>230</v>
      </c>
      <c r="AX27" s="151"/>
      <c r="AY27" s="239"/>
      <c r="AZ27" s="78"/>
      <c r="BA27" s="78"/>
      <c r="BB27" s="145" t="s">
        <v>118</v>
      </c>
      <c r="BC27" s="157">
        <v>687.63</v>
      </c>
      <c r="BD27" s="186"/>
      <c r="BE27" s="157">
        <v>687.63</v>
      </c>
      <c r="BF27" s="189">
        <f t="shared" si="1"/>
        <v>0</v>
      </c>
      <c r="BG27" s="218"/>
      <c r="BH27" s="189"/>
      <c r="BI27" s="145" t="s">
        <v>118</v>
      </c>
      <c r="BJ27" s="157">
        <v>1657.87</v>
      </c>
      <c r="BK27" s="150" t="s">
        <v>118</v>
      </c>
      <c r="BL27" s="151">
        <f>BV27</f>
        <v>0</v>
      </c>
      <c r="BR27" s="145" t="s">
        <v>118</v>
      </c>
      <c r="BS27" s="157">
        <v>1657.87</v>
      </c>
      <c r="CA27" s="145" t="s">
        <v>118</v>
      </c>
      <c r="CB27" s="157">
        <v>137.14</v>
      </c>
    </row>
    <row r="28" spans="1:80" ht="24" thickBot="1">
      <c r="A28" s="7">
        <f t="shared" si="2"/>
        <v>21</v>
      </c>
      <c r="B28" s="15" t="s">
        <v>59</v>
      </c>
      <c r="C28" s="166"/>
      <c r="D28" s="114">
        <v>500</v>
      </c>
      <c r="E28" s="166"/>
      <c r="F28" s="114">
        <v>500</v>
      </c>
      <c r="G28" s="114"/>
      <c r="H28" s="114">
        <v>0</v>
      </c>
      <c r="I28" s="164"/>
      <c r="J28" s="116"/>
      <c r="K28" s="164"/>
      <c r="L28" s="201">
        <v>500</v>
      </c>
      <c r="M28" s="201"/>
      <c r="N28" s="116"/>
      <c r="O28" s="15"/>
      <c r="P28" s="116"/>
      <c r="Q28" s="116"/>
      <c r="R28" s="116"/>
      <c r="S28" s="116"/>
      <c r="T28" s="114"/>
      <c r="U28" s="112"/>
      <c r="V28" s="114"/>
      <c r="W28" s="112"/>
      <c r="X28" s="114"/>
      <c r="Y28" s="112"/>
      <c r="AB28" s="7">
        <f t="shared" si="0"/>
        <v>0</v>
      </c>
      <c r="AG28" s="235"/>
      <c r="AH28" s="236"/>
      <c r="AI28" s="145"/>
      <c r="AJ28" s="7"/>
      <c r="AK28" s="146">
        <v>137.14</v>
      </c>
      <c r="AL28" s="189">
        <f>AK27</f>
        <v>137.14</v>
      </c>
      <c r="AM28" s="189"/>
      <c r="AO28" s="146">
        <v>1657.87</v>
      </c>
      <c r="AR28" s="150" t="s">
        <v>216</v>
      </c>
      <c r="AS28" s="153"/>
      <c r="AT28" s="222"/>
      <c r="AW28" s="152" t="s">
        <v>216</v>
      </c>
      <c r="AX28" s="151"/>
      <c r="AY28" s="239"/>
      <c r="AZ28" s="78"/>
      <c r="BA28" s="78"/>
      <c r="BB28" s="145" t="s">
        <v>231</v>
      </c>
      <c r="BC28" s="146">
        <v>687.63</v>
      </c>
      <c r="BD28" s="186"/>
      <c r="BE28" s="146">
        <v>687.63</v>
      </c>
      <c r="BF28" s="189">
        <f t="shared" si="1"/>
        <v>0</v>
      </c>
      <c r="BG28" s="218"/>
      <c r="BH28" s="189"/>
      <c r="BI28" s="145" t="s">
        <v>231</v>
      </c>
      <c r="BJ28" s="146">
        <v>1657.87</v>
      </c>
      <c r="BK28" s="150" t="s">
        <v>216</v>
      </c>
      <c r="BL28" s="153"/>
      <c r="BR28" s="145" t="s">
        <v>231</v>
      </c>
      <c r="BS28" s="146">
        <v>1657.87</v>
      </c>
      <c r="CA28" s="145" t="s">
        <v>231</v>
      </c>
      <c r="CB28" s="146">
        <v>137.14</v>
      </c>
    </row>
    <row r="29" spans="1:80" ht="24" thickBot="1" thickTop="1">
      <c r="A29" s="7">
        <f t="shared" si="2"/>
        <v>22</v>
      </c>
      <c r="B29" s="25" t="s">
        <v>135</v>
      </c>
      <c r="C29" s="183"/>
      <c r="D29" s="117">
        <f>SUM(D25:D28)</f>
        <v>85500</v>
      </c>
      <c r="E29" s="183"/>
      <c r="F29" s="117">
        <f>SUM(F25:F28)</f>
        <v>85500</v>
      </c>
      <c r="G29" s="117"/>
      <c r="H29" s="117">
        <f>SUM(H25:H28)</f>
        <v>85000</v>
      </c>
      <c r="I29" s="182"/>
      <c r="J29" s="119">
        <f>SUM(J25:J28)</f>
        <v>43269.44</v>
      </c>
      <c r="K29" s="182"/>
      <c r="L29" s="184">
        <f>SUM(L25:L28)</f>
        <v>85500</v>
      </c>
      <c r="M29" s="184"/>
      <c r="N29" s="119">
        <f>SUM(N25:N28)</f>
        <v>55675.88</v>
      </c>
      <c r="O29" s="25"/>
      <c r="P29" s="119">
        <f>SUM(P25:P28)</f>
        <v>53055.77</v>
      </c>
      <c r="Q29" s="119"/>
      <c r="R29" s="119">
        <f>SUM(R25:R28)</f>
        <v>60965.68</v>
      </c>
      <c r="S29" s="119"/>
      <c r="T29" s="117">
        <f>SUM(T25:T28)</f>
        <v>101695.68</v>
      </c>
      <c r="U29" s="118"/>
      <c r="V29" s="117">
        <f>SUM(V25:V28)</f>
        <v>110137.83</v>
      </c>
      <c r="W29" s="118"/>
      <c r="X29" s="117">
        <f>SUM(X25:X28)</f>
        <v>92843.77</v>
      </c>
      <c r="Y29" s="118"/>
      <c r="AB29" s="7">
        <f t="shared" si="0"/>
        <v>0</v>
      </c>
      <c r="AG29" s="235"/>
      <c r="AH29" s="236"/>
      <c r="AI29" s="145"/>
      <c r="AJ29" s="145"/>
      <c r="AK29" s="146"/>
      <c r="AL29" s="189"/>
      <c r="AM29" s="189"/>
      <c r="AN29" s="145"/>
      <c r="AO29" s="146"/>
      <c r="AR29" s="150" t="s">
        <v>231</v>
      </c>
      <c r="AS29" s="151"/>
      <c r="AT29" s="185"/>
      <c r="AW29" s="150" t="s">
        <v>118</v>
      </c>
      <c r="AX29" s="153">
        <v>687.63</v>
      </c>
      <c r="AY29" s="239"/>
      <c r="AZ29" s="78"/>
      <c r="BA29" s="78"/>
      <c r="BB29" s="145" t="s">
        <v>216</v>
      </c>
      <c r="BC29" s="146"/>
      <c r="BD29" s="186"/>
      <c r="BE29" s="146"/>
      <c r="BF29" s="189">
        <f t="shared" si="1"/>
        <v>0</v>
      </c>
      <c r="BG29" s="218"/>
      <c r="BH29" s="189"/>
      <c r="BI29" s="145" t="s">
        <v>216</v>
      </c>
      <c r="BJ29" s="146"/>
      <c r="BK29" s="150" t="s">
        <v>231</v>
      </c>
      <c r="BL29" s="151"/>
      <c r="BR29" s="145" t="s">
        <v>216</v>
      </c>
      <c r="BS29" s="146"/>
      <c r="CA29" s="145" t="s">
        <v>216</v>
      </c>
      <c r="CB29" s="146"/>
    </row>
    <row r="30" spans="1:80" ht="23.25" thickTop="1">
      <c r="A30" s="7">
        <f t="shared" si="2"/>
        <v>23</v>
      </c>
      <c r="B30" s="8" t="s">
        <v>75</v>
      </c>
      <c r="C30" s="169"/>
      <c r="D30" s="114"/>
      <c r="E30" s="169"/>
      <c r="F30" s="114"/>
      <c r="G30" s="114"/>
      <c r="H30" s="114"/>
      <c r="I30" s="166"/>
      <c r="J30" s="122"/>
      <c r="K30" s="166"/>
      <c r="L30" s="202"/>
      <c r="M30" s="202"/>
      <c r="N30" s="122"/>
      <c r="O30" s="8"/>
      <c r="P30" s="122"/>
      <c r="Q30" s="122"/>
      <c r="R30" s="122"/>
      <c r="S30" s="122"/>
      <c r="T30" s="123"/>
      <c r="U30" s="121"/>
      <c r="V30" s="114"/>
      <c r="W30" s="112"/>
      <c r="X30" s="114"/>
      <c r="Y30" s="112"/>
      <c r="AB30" s="7">
        <f t="shared" si="0"/>
        <v>0</v>
      </c>
      <c r="AG30" s="235"/>
      <c r="AH30" s="236"/>
      <c r="AI30" s="145"/>
      <c r="AJ30" s="7"/>
      <c r="AK30" s="146"/>
      <c r="AL30" s="189"/>
      <c r="AM30" s="189"/>
      <c r="AO30" s="146"/>
      <c r="AR30" s="150" t="s">
        <v>216</v>
      </c>
      <c r="AS30" s="151"/>
      <c r="AT30" s="222"/>
      <c r="AY30" s="239"/>
      <c r="AZ30" s="78"/>
      <c r="BA30" s="78"/>
      <c r="BB30" s="145" t="s">
        <v>216</v>
      </c>
      <c r="BC30" s="146"/>
      <c r="BD30" s="186"/>
      <c r="BE30" s="146"/>
      <c r="BF30" s="189">
        <f t="shared" si="1"/>
        <v>0</v>
      </c>
      <c r="BG30" s="218"/>
      <c r="BH30" s="189"/>
      <c r="BI30" s="145" t="s">
        <v>216</v>
      </c>
      <c r="BJ30" s="146"/>
      <c r="BK30" s="150" t="s">
        <v>216</v>
      </c>
      <c r="BL30" s="151"/>
      <c r="BR30" s="145" t="s">
        <v>216</v>
      </c>
      <c r="BS30" s="146"/>
      <c r="CA30" s="145" t="s">
        <v>216</v>
      </c>
      <c r="CB30" s="146"/>
    </row>
    <row r="31" spans="1:80" ht="22.5">
      <c r="A31" s="7">
        <f>A30+1</f>
        <v>24</v>
      </c>
      <c r="B31" s="2" t="s">
        <v>188</v>
      </c>
      <c r="C31" s="170"/>
      <c r="D31" s="114">
        <v>500</v>
      </c>
      <c r="E31" s="170"/>
      <c r="F31" s="114">
        <v>500</v>
      </c>
      <c r="G31" s="114"/>
      <c r="H31" s="114">
        <v>0</v>
      </c>
      <c r="I31" s="166"/>
      <c r="J31" s="116"/>
      <c r="K31" s="166"/>
      <c r="L31" s="195">
        <v>0</v>
      </c>
      <c r="M31" s="195"/>
      <c r="N31" s="116"/>
      <c r="O31" s="2"/>
      <c r="P31" s="116"/>
      <c r="Q31" s="116"/>
      <c r="R31" s="116"/>
      <c r="S31" s="116"/>
      <c r="T31" s="114"/>
      <c r="U31" s="112"/>
      <c r="V31" s="114"/>
      <c r="W31" s="112"/>
      <c r="X31" s="114"/>
      <c r="Y31" s="112"/>
      <c r="AB31" s="7">
        <f t="shared" si="0"/>
        <v>0</v>
      </c>
      <c r="AG31" s="235"/>
      <c r="AH31" s="236"/>
      <c r="AI31" s="145"/>
      <c r="AJ31" s="145" t="s">
        <v>232</v>
      </c>
      <c r="AK31" s="146"/>
      <c r="AL31" s="189"/>
      <c r="AM31" s="189"/>
      <c r="AN31" s="145" t="s">
        <v>232</v>
      </c>
      <c r="AO31" s="146"/>
      <c r="AR31" s="150" t="s">
        <v>232</v>
      </c>
      <c r="AS31" s="151"/>
      <c r="AT31" s="222"/>
      <c r="AW31" s="150" t="s">
        <v>231</v>
      </c>
      <c r="AX31" s="151">
        <v>687.63</v>
      </c>
      <c r="AY31" s="239"/>
      <c r="AZ31" s="78"/>
      <c r="BA31" s="78"/>
      <c r="BB31" s="145" t="s">
        <v>232</v>
      </c>
      <c r="BC31" s="146"/>
      <c r="BD31" s="186"/>
      <c r="BE31" s="146"/>
      <c r="BF31" s="189">
        <f t="shared" si="1"/>
        <v>0</v>
      </c>
      <c r="BG31" s="218"/>
      <c r="BH31" s="189"/>
      <c r="BI31" s="145" t="s">
        <v>232</v>
      </c>
      <c r="BJ31" s="146"/>
      <c r="BK31" s="150" t="s">
        <v>232</v>
      </c>
      <c r="BL31" s="151"/>
      <c r="BR31" s="145" t="s">
        <v>232</v>
      </c>
      <c r="BS31" s="146"/>
      <c r="CA31" s="145" t="s">
        <v>232</v>
      </c>
      <c r="CB31" s="146"/>
    </row>
    <row r="32" spans="1:80" ht="23.25">
      <c r="A32" s="7">
        <f t="shared" si="2"/>
        <v>25</v>
      </c>
      <c r="B32" s="3" t="s">
        <v>201</v>
      </c>
      <c r="C32" s="164"/>
      <c r="D32" s="114">
        <v>-1000</v>
      </c>
      <c r="E32" s="164"/>
      <c r="F32" s="114">
        <v>-1000</v>
      </c>
      <c r="G32" s="114"/>
      <c r="H32" s="114">
        <f>-5000</f>
        <v>-5000</v>
      </c>
      <c r="I32" s="170"/>
      <c r="J32" s="116">
        <f>AK39</f>
        <v>-23012.49</v>
      </c>
      <c r="K32" s="170"/>
      <c r="L32" s="196">
        <f>-3000</f>
        <v>-3000</v>
      </c>
      <c r="M32" s="196"/>
      <c r="N32" s="116">
        <f>AO39</f>
        <v>-9899.62</v>
      </c>
      <c r="O32" s="3"/>
      <c r="P32" s="116">
        <f>AS39</f>
        <v>9611.91</v>
      </c>
      <c r="Q32" s="116"/>
      <c r="R32" s="116">
        <v>-1205.7</v>
      </c>
      <c r="S32" s="116"/>
      <c r="T32" s="114">
        <f>-5083.31</f>
        <v>-5083.31</v>
      </c>
      <c r="U32" s="112"/>
      <c r="V32" s="114">
        <v>22324.44</v>
      </c>
      <c r="W32" s="112"/>
      <c r="X32" s="114">
        <v>5467.12</v>
      </c>
      <c r="Y32" s="112"/>
      <c r="AB32" s="7">
        <f t="shared" si="0"/>
        <v>0</v>
      </c>
      <c r="AG32" s="235"/>
      <c r="AH32" s="236"/>
      <c r="AI32" s="156"/>
      <c r="AJ32" s="156" t="s">
        <v>216</v>
      </c>
      <c r="AK32" s="146"/>
      <c r="AL32" s="189"/>
      <c r="AM32" s="189"/>
      <c r="AN32" s="156" t="s">
        <v>216</v>
      </c>
      <c r="AO32" s="146"/>
      <c r="AR32" s="152" t="s">
        <v>216</v>
      </c>
      <c r="AS32" s="151"/>
      <c r="AT32" s="222"/>
      <c r="AY32" s="239"/>
      <c r="AZ32" s="78"/>
      <c r="BA32" s="78"/>
      <c r="BB32" s="156" t="s">
        <v>216</v>
      </c>
      <c r="BC32" s="146"/>
      <c r="BD32" s="186"/>
      <c r="BE32" s="146"/>
      <c r="BF32" s="189">
        <f t="shared" si="1"/>
        <v>0</v>
      </c>
      <c r="BG32" s="218"/>
      <c r="BH32" s="189"/>
      <c r="BI32" s="156" t="s">
        <v>216</v>
      </c>
      <c r="BJ32" s="146"/>
      <c r="BK32" s="152" t="s">
        <v>216</v>
      </c>
      <c r="BL32" s="151"/>
      <c r="BR32" s="156" t="s">
        <v>216</v>
      </c>
      <c r="BS32" s="146"/>
      <c r="CA32" s="156" t="s">
        <v>216</v>
      </c>
      <c r="CB32" s="146"/>
    </row>
    <row r="33" spans="1:80" ht="24" thickBot="1">
      <c r="A33" s="7">
        <f t="shared" si="2"/>
        <v>26</v>
      </c>
      <c r="B33" s="3" t="s">
        <v>63</v>
      </c>
      <c r="C33" s="166"/>
      <c r="D33" s="114">
        <v>1700</v>
      </c>
      <c r="E33" s="166"/>
      <c r="F33" s="114">
        <v>1700</v>
      </c>
      <c r="G33" s="114"/>
      <c r="H33" s="114">
        <v>500</v>
      </c>
      <c r="I33" s="171"/>
      <c r="J33" s="116">
        <f>AK40</f>
        <v>299.31</v>
      </c>
      <c r="K33" s="171"/>
      <c r="L33" s="196">
        <v>1500</v>
      </c>
      <c r="M33" s="196"/>
      <c r="N33" s="116">
        <f>AO40</f>
        <v>1362.54</v>
      </c>
      <c r="O33" s="3"/>
      <c r="P33" s="116">
        <f>AS40</f>
        <v>1901.24</v>
      </c>
      <c r="Q33" s="116"/>
      <c r="R33" s="116">
        <v>948.46</v>
      </c>
      <c r="S33" s="116"/>
      <c r="T33" s="114">
        <v>613.84</v>
      </c>
      <c r="U33" s="112"/>
      <c r="V33" s="114"/>
      <c r="W33" s="112"/>
      <c r="X33" s="114"/>
      <c r="Y33" s="112"/>
      <c r="AB33" s="7">
        <f t="shared" si="0"/>
        <v>0</v>
      </c>
      <c r="AG33" s="78"/>
      <c r="AH33" s="123"/>
      <c r="AI33" s="145"/>
      <c r="AJ33" s="145" t="s">
        <v>233</v>
      </c>
      <c r="AK33" s="146">
        <v>0</v>
      </c>
      <c r="AL33" s="189"/>
      <c r="AM33" s="189"/>
      <c r="AN33" s="145" t="s">
        <v>233</v>
      </c>
      <c r="AO33" s="146">
        <v>0</v>
      </c>
      <c r="AR33" s="150" t="s">
        <v>233</v>
      </c>
      <c r="AS33" s="151">
        <f aca="true" t="shared" si="3" ref="AS33:AS63">BC33</f>
        <v>0</v>
      </c>
      <c r="AT33" s="222"/>
      <c r="AY33" s="239"/>
      <c r="AZ33" s="78"/>
      <c r="BA33" s="78"/>
      <c r="BB33" s="145" t="s">
        <v>233</v>
      </c>
      <c r="BC33" s="146">
        <v>0</v>
      </c>
      <c r="BD33" s="186"/>
      <c r="BE33" s="146">
        <v>0</v>
      </c>
      <c r="BF33" s="189">
        <f t="shared" si="1"/>
        <v>0</v>
      </c>
      <c r="BG33" s="218"/>
      <c r="BH33" s="189"/>
      <c r="BI33" s="145" t="s">
        <v>233</v>
      </c>
      <c r="BJ33" s="146">
        <v>0</v>
      </c>
      <c r="BK33" s="150" t="s">
        <v>233</v>
      </c>
      <c r="BL33" s="151">
        <f aca="true" t="shared" si="4" ref="BL33:BL63">BV33</f>
        <v>0</v>
      </c>
      <c r="BR33" s="145" t="s">
        <v>233</v>
      </c>
      <c r="BS33" s="146">
        <v>0</v>
      </c>
      <c r="CA33" s="145" t="s">
        <v>233</v>
      </c>
      <c r="CB33" s="146">
        <v>0</v>
      </c>
    </row>
    <row r="34" spans="1:80" ht="24" thickBot="1" thickTop="1">
      <c r="A34" s="7">
        <f t="shared" si="2"/>
        <v>27</v>
      </c>
      <c r="B34" s="25" t="s">
        <v>136</v>
      </c>
      <c r="C34" s="182"/>
      <c r="D34" s="117">
        <f>SUM(D30:D33)</f>
        <v>1200</v>
      </c>
      <c r="E34" s="182"/>
      <c r="F34" s="117">
        <f>SUM(F30:F33)</f>
        <v>1200</v>
      </c>
      <c r="G34" s="117"/>
      <c r="H34" s="117">
        <f>SUM(H30:H33)</f>
        <v>-4500</v>
      </c>
      <c r="I34" s="182"/>
      <c r="J34" s="119">
        <f>SUM(J30:J33)</f>
        <v>-22713.18</v>
      </c>
      <c r="K34" s="182"/>
      <c r="L34" s="184">
        <f>SUM(L30:L33)</f>
        <v>-1500</v>
      </c>
      <c r="M34" s="184"/>
      <c r="N34" s="119">
        <f>SUM(N30:N33)</f>
        <v>-8537.080000000002</v>
      </c>
      <c r="O34" s="25"/>
      <c r="P34" s="119">
        <f>SUM(P30:P33)</f>
        <v>11513.15</v>
      </c>
      <c r="Q34" s="119"/>
      <c r="R34" s="119">
        <f>SUM(R30:R33)</f>
        <v>-257.24</v>
      </c>
      <c r="S34" s="119"/>
      <c r="T34" s="117">
        <f>SUM(T30:T33)</f>
        <v>-4469.47</v>
      </c>
      <c r="U34" s="118"/>
      <c r="V34" s="117">
        <f>SUM(V30:V33)</f>
        <v>22324.44</v>
      </c>
      <c r="W34" s="118"/>
      <c r="X34" s="117">
        <f>SUM(X30:X33)</f>
        <v>5467.12</v>
      </c>
      <c r="Y34" s="118"/>
      <c r="AB34" s="7">
        <f t="shared" si="0"/>
        <v>0</v>
      </c>
      <c r="AG34" s="78"/>
      <c r="AH34" s="123"/>
      <c r="AI34" s="145"/>
      <c r="AJ34" s="145" t="s">
        <v>234</v>
      </c>
      <c r="AK34" s="146">
        <v>0</v>
      </c>
      <c r="AL34" s="189"/>
      <c r="AM34" s="189"/>
      <c r="AN34" s="145" t="s">
        <v>234</v>
      </c>
      <c r="AO34" s="146">
        <v>0</v>
      </c>
      <c r="AR34" s="150" t="s">
        <v>234</v>
      </c>
      <c r="AS34" s="151">
        <f t="shared" si="3"/>
        <v>0</v>
      </c>
      <c r="AT34" s="222"/>
      <c r="AW34" s="150" t="s">
        <v>232</v>
      </c>
      <c r="AX34" s="151"/>
      <c r="AY34" s="239"/>
      <c r="AZ34" s="78"/>
      <c r="BA34" s="78"/>
      <c r="BB34" s="145" t="s">
        <v>234</v>
      </c>
      <c r="BC34" s="146">
        <v>0</v>
      </c>
      <c r="BD34" s="186"/>
      <c r="BE34" s="146">
        <v>0</v>
      </c>
      <c r="BF34" s="189">
        <f t="shared" si="1"/>
        <v>0</v>
      </c>
      <c r="BG34" s="218"/>
      <c r="BH34" s="189"/>
      <c r="BI34" s="145" t="s">
        <v>234</v>
      </c>
      <c r="BJ34" s="146">
        <v>0</v>
      </c>
      <c r="BK34" s="150" t="s">
        <v>234</v>
      </c>
      <c r="BL34" s="151">
        <f t="shared" si="4"/>
        <v>0</v>
      </c>
      <c r="BR34" s="145" t="s">
        <v>234</v>
      </c>
      <c r="BS34" s="146">
        <v>0</v>
      </c>
      <c r="CA34" s="145" t="s">
        <v>234</v>
      </c>
      <c r="CB34" s="146">
        <v>0</v>
      </c>
    </row>
    <row r="35" spans="1:80" ht="23.25" thickTop="1">
      <c r="A35" s="7">
        <f t="shared" si="2"/>
        <v>28</v>
      </c>
      <c r="B35" s="16" t="s">
        <v>112</v>
      </c>
      <c r="C35" s="166"/>
      <c r="D35" s="114"/>
      <c r="E35" s="166"/>
      <c r="F35" s="114"/>
      <c r="G35" s="114"/>
      <c r="H35" s="114"/>
      <c r="I35" s="166"/>
      <c r="J35" s="116"/>
      <c r="K35" s="166"/>
      <c r="L35" s="224"/>
      <c r="M35" s="198"/>
      <c r="N35" s="116"/>
      <c r="O35" s="16"/>
      <c r="P35" s="116"/>
      <c r="Q35" s="116"/>
      <c r="R35" s="116"/>
      <c r="S35" s="116"/>
      <c r="T35" s="114"/>
      <c r="U35" s="112"/>
      <c r="V35" s="114"/>
      <c r="W35" s="112"/>
      <c r="X35" s="114"/>
      <c r="Y35" s="112"/>
      <c r="AB35" s="7">
        <f t="shared" si="0"/>
        <v>0</v>
      </c>
      <c r="AG35" s="78"/>
      <c r="AH35" s="123"/>
      <c r="AI35" s="145"/>
      <c r="AJ35" s="145" t="s">
        <v>235</v>
      </c>
      <c r="AK35" s="146">
        <v>11625.75</v>
      </c>
      <c r="AL35" s="189"/>
      <c r="AM35" s="189"/>
      <c r="AN35" s="145" t="s">
        <v>235</v>
      </c>
      <c r="AO35" s="146">
        <v>15197.04</v>
      </c>
      <c r="AR35" s="150" t="s">
        <v>235</v>
      </c>
      <c r="AS35" s="151">
        <f t="shared" si="3"/>
        <v>19025.04</v>
      </c>
      <c r="AT35" s="222"/>
      <c r="AW35" s="152" t="s">
        <v>216</v>
      </c>
      <c r="AX35" s="151"/>
      <c r="AY35" s="239"/>
      <c r="AZ35" s="78"/>
      <c r="BA35" s="78"/>
      <c r="BB35" s="145" t="s">
        <v>235</v>
      </c>
      <c r="BC35" s="146">
        <v>19025.04</v>
      </c>
      <c r="BD35" s="186"/>
      <c r="BE35" s="146">
        <v>19025.04</v>
      </c>
      <c r="BF35" s="189">
        <f t="shared" si="1"/>
        <v>0</v>
      </c>
      <c r="BG35" s="218"/>
      <c r="BH35" s="189"/>
      <c r="BI35" s="145" t="s">
        <v>235</v>
      </c>
      <c r="BJ35" s="146">
        <v>15197.04</v>
      </c>
      <c r="BK35" s="150" t="s">
        <v>235</v>
      </c>
      <c r="BL35" s="151">
        <f t="shared" si="4"/>
        <v>0</v>
      </c>
      <c r="BR35" s="145" t="s">
        <v>235</v>
      </c>
      <c r="BS35" s="146">
        <v>15197.04</v>
      </c>
      <c r="CA35" s="145" t="s">
        <v>235</v>
      </c>
      <c r="CB35" s="146">
        <v>11625.75</v>
      </c>
    </row>
    <row r="36" spans="1:80" ht="22.5">
      <c r="A36" s="7">
        <f t="shared" si="2"/>
        <v>29</v>
      </c>
      <c r="B36" s="3" t="s">
        <v>48</v>
      </c>
      <c r="C36" s="170"/>
      <c r="D36" s="114">
        <v>57000</v>
      </c>
      <c r="E36" s="170"/>
      <c r="F36" s="114">
        <v>57000</v>
      </c>
      <c r="G36" s="114"/>
      <c r="H36" s="114">
        <v>57000</v>
      </c>
      <c r="I36" s="166"/>
      <c r="J36" s="116">
        <f>AK56</f>
        <v>42750</v>
      </c>
      <c r="K36" s="166"/>
      <c r="L36" s="199">
        <v>57000</v>
      </c>
      <c r="M36" s="199"/>
      <c r="N36" s="116">
        <f>AO56</f>
        <v>57000</v>
      </c>
      <c r="O36" s="3"/>
      <c r="P36" s="116">
        <f>AS56</f>
        <v>57000</v>
      </c>
      <c r="Q36" s="116"/>
      <c r="R36" s="116">
        <v>57000</v>
      </c>
      <c r="S36" s="116"/>
      <c r="T36" s="114">
        <v>57000</v>
      </c>
      <c r="U36" s="112"/>
      <c r="V36" s="114">
        <v>57000</v>
      </c>
      <c r="W36" s="112"/>
      <c r="X36" s="114">
        <v>57000</v>
      </c>
      <c r="Y36" s="112"/>
      <c r="AB36" s="7">
        <f t="shared" si="0"/>
        <v>0</v>
      </c>
      <c r="AG36" s="235"/>
      <c r="AH36" s="236"/>
      <c r="AI36" s="145"/>
      <c r="AJ36" s="145" t="s">
        <v>236</v>
      </c>
      <c r="AK36" s="146">
        <v>29684.97</v>
      </c>
      <c r="AL36" s="189"/>
      <c r="AM36" s="189"/>
      <c r="AN36" s="145" t="s">
        <v>236</v>
      </c>
      <c r="AO36" s="146">
        <v>38804.04</v>
      </c>
      <c r="AR36" s="150" t="s">
        <v>236</v>
      </c>
      <c r="AS36" s="151">
        <f t="shared" si="3"/>
        <v>38043</v>
      </c>
      <c r="AT36" s="222"/>
      <c r="AW36" s="150" t="s">
        <v>233</v>
      </c>
      <c r="AX36" s="151">
        <v>0</v>
      </c>
      <c r="AY36" s="239"/>
      <c r="AZ36" s="78"/>
      <c r="BA36" s="78"/>
      <c r="BB36" s="145" t="s">
        <v>236</v>
      </c>
      <c r="BC36" s="146">
        <v>38043</v>
      </c>
      <c r="BD36" s="186"/>
      <c r="BE36" s="146">
        <v>38043</v>
      </c>
      <c r="BF36" s="189">
        <f t="shared" si="1"/>
        <v>0</v>
      </c>
      <c r="BG36" s="218"/>
      <c r="BH36" s="189"/>
      <c r="BI36" s="145" t="s">
        <v>236</v>
      </c>
      <c r="BJ36" s="146">
        <v>38804.04</v>
      </c>
      <c r="BK36" s="150" t="s">
        <v>236</v>
      </c>
      <c r="BL36" s="151">
        <f t="shared" si="4"/>
        <v>0</v>
      </c>
      <c r="BR36" s="145" t="s">
        <v>236</v>
      </c>
      <c r="BS36" s="146">
        <v>38804.04</v>
      </c>
      <c r="CA36" s="145" t="s">
        <v>236</v>
      </c>
      <c r="CB36" s="146">
        <v>29684.97</v>
      </c>
    </row>
    <row r="37" spans="1:80" ht="23.25">
      <c r="A37" s="7">
        <f t="shared" si="2"/>
        <v>30</v>
      </c>
      <c r="B37" s="3" t="s">
        <v>174</v>
      </c>
      <c r="C37" s="171"/>
      <c r="D37" s="114">
        <f>15501*1.005</f>
        <v>15578.505</v>
      </c>
      <c r="E37" s="171"/>
      <c r="F37" s="114">
        <f>1266.42*12*1.02</f>
        <v>15500.980800000001</v>
      </c>
      <c r="G37" s="114"/>
      <c r="H37" s="114">
        <f>1266.42*12*1.02</f>
        <v>15500.980800000001</v>
      </c>
      <c r="I37" s="166"/>
      <c r="J37" s="124">
        <f>AK35</f>
        <v>11625.75</v>
      </c>
      <c r="K37" s="166"/>
      <c r="L37" s="199">
        <f>1609.2*1.02*12-(4500)</f>
        <v>15196.608</v>
      </c>
      <c r="M37" s="199"/>
      <c r="N37" s="124">
        <f>AO35</f>
        <v>15197.04</v>
      </c>
      <c r="O37" s="3"/>
      <c r="P37" s="124">
        <f>AS35</f>
        <v>19025.04</v>
      </c>
      <c r="Q37" s="124"/>
      <c r="R37" s="124">
        <v>14140.08</v>
      </c>
      <c r="S37" s="124"/>
      <c r="T37" s="114">
        <v>18466.84</v>
      </c>
      <c r="U37" s="112"/>
      <c r="V37" s="114">
        <v>18194.04</v>
      </c>
      <c r="W37" s="112"/>
      <c r="X37" s="114">
        <v>18014.01</v>
      </c>
      <c r="Y37" s="112"/>
      <c r="AB37" s="7">
        <f t="shared" si="0"/>
        <v>77.52419999999802</v>
      </c>
      <c r="AG37" s="235"/>
      <c r="AH37" s="236"/>
      <c r="AI37" s="145"/>
      <c r="AJ37" s="145" t="s">
        <v>237</v>
      </c>
      <c r="AK37" s="146">
        <v>29684.97</v>
      </c>
      <c r="AL37" s="189"/>
      <c r="AM37" s="189"/>
      <c r="AN37" s="145" t="s">
        <v>237</v>
      </c>
      <c r="AO37" s="146">
        <v>35570.37</v>
      </c>
      <c r="AR37" s="150" t="s">
        <v>237</v>
      </c>
      <c r="AS37" s="151">
        <f t="shared" si="3"/>
        <v>41276.67</v>
      </c>
      <c r="AT37" s="222"/>
      <c r="AW37" s="150" t="s">
        <v>234</v>
      </c>
      <c r="AX37" s="151">
        <v>0</v>
      </c>
      <c r="AY37" s="239"/>
      <c r="AZ37" s="78"/>
      <c r="BA37" s="78"/>
      <c r="BB37" s="145" t="s">
        <v>237</v>
      </c>
      <c r="BC37" s="146">
        <v>41276.67</v>
      </c>
      <c r="BD37" s="186"/>
      <c r="BE37" s="146">
        <v>41276.67</v>
      </c>
      <c r="BF37" s="189">
        <f t="shared" si="1"/>
        <v>0</v>
      </c>
      <c r="BG37" s="218"/>
      <c r="BH37" s="189"/>
      <c r="BI37" s="145" t="s">
        <v>237</v>
      </c>
      <c r="BJ37" s="146">
        <v>35570.37</v>
      </c>
      <c r="BK37" s="150" t="s">
        <v>237</v>
      </c>
      <c r="BL37" s="151">
        <f t="shared" si="4"/>
        <v>0</v>
      </c>
      <c r="BR37" s="145" t="s">
        <v>237</v>
      </c>
      <c r="BS37" s="146">
        <v>35570.37</v>
      </c>
      <c r="CA37" s="145" t="s">
        <v>237</v>
      </c>
      <c r="CB37" s="146">
        <v>29684.97</v>
      </c>
    </row>
    <row r="38" spans="1:80" ht="22.5">
      <c r="A38" s="7">
        <f t="shared" si="2"/>
        <v>31</v>
      </c>
      <c r="B38" s="3" t="s">
        <v>113</v>
      </c>
      <c r="C38" s="166"/>
      <c r="D38" s="114">
        <f>39580*1.005</f>
        <v>39777.899999999994</v>
      </c>
      <c r="E38" s="166"/>
      <c r="F38" s="114">
        <f>3233.67*12*1.02</f>
        <v>39580.120800000004</v>
      </c>
      <c r="G38" s="114"/>
      <c r="H38" s="114">
        <f>3233.67*12*1.02</f>
        <v>39580.120800000004</v>
      </c>
      <c r="I38" s="168"/>
      <c r="J38" s="124">
        <f>AK36</f>
        <v>29684.97</v>
      </c>
      <c r="K38" s="168"/>
      <c r="L38" s="199">
        <f>3170.25*1.02*12</f>
        <v>38803.86</v>
      </c>
      <c r="M38" s="199"/>
      <c r="N38" s="124">
        <f>AO36</f>
        <v>38804.04</v>
      </c>
      <c r="O38" s="3"/>
      <c r="P38" s="124">
        <f>AS36</f>
        <v>38043</v>
      </c>
      <c r="Q38" s="124"/>
      <c r="R38" s="124">
        <v>37480.92</v>
      </c>
      <c r="S38" s="124"/>
      <c r="T38" s="114">
        <v>36927</v>
      </c>
      <c r="U38" s="112"/>
      <c r="V38" s="114">
        <v>36381</v>
      </c>
      <c r="W38" s="112"/>
      <c r="X38" s="114">
        <v>36021</v>
      </c>
      <c r="Y38" s="112"/>
      <c r="AB38" s="7">
        <f t="shared" si="0"/>
        <v>197.77919999998994</v>
      </c>
      <c r="AG38" s="235"/>
      <c r="AH38" s="236"/>
      <c r="AI38" s="145"/>
      <c r="AJ38" s="145" t="s">
        <v>238</v>
      </c>
      <c r="AK38" s="146">
        <v>168.39</v>
      </c>
      <c r="AL38" s="189"/>
      <c r="AM38" s="189"/>
      <c r="AN38" s="145" t="s">
        <v>238</v>
      </c>
      <c r="AO38" s="146">
        <v>224.52</v>
      </c>
      <c r="AR38" s="150" t="s">
        <v>238</v>
      </c>
      <c r="AS38" s="151">
        <f t="shared" si="3"/>
        <v>224.52</v>
      </c>
      <c r="AT38" s="222"/>
      <c r="AW38" s="150" t="s">
        <v>235</v>
      </c>
      <c r="AX38" s="151">
        <v>19025.04</v>
      </c>
      <c r="AY38" s="239"/>
      <c r="AZ38" s="78"/>
      <c r="BA38" s="78"/>
      <c r="BB38" s="145" t="s">
        <v>238</v>
      </c>
      <c r="BC38" s="146">
        <v>224.52</v>
      </c>
      <c r="BD38" s="186"/>
      <c r="BE38" s="146">
        <v>224.52</v>
      </c>
      <c r="BF38" s="189">
        <f t="shared" si="1"/>
        <v>0</v>
      </c>
      <c r="BG38" s="218"/>
      <c r="BH38" s="189"/>
      <c r="BI38" s="145" t="s">
        <v>238</v>
      </c>
      <c r="BJ38" s="146">
        <v>224.52</v>
      </c>
      <c r="BK38" s="150" t="s">
        <v>238</v>
      </c>
      <c r="BL38" s="151">
        <f t="shared" si="4"/>
        <v>0</v>
      </c>
      <c r="BR38" s="145" t="s">
        <v>238</v>
      </c>
      <c r="BS38" s="146">
        <v>224.52</v>
      </c>
      <c r="CA38" s="145" t="s">
        <v>238</v>
      </c>
      <c r="CB38" s="146">
        <v>168.39</v>
      </c>
    </row>
    <row r="39" spans="1:80" ht="24" thickBot="1">
      <c r="A39" s="7">
        <f t="shared" si="2"/>
        <v>32</v>
      </c>
      <c r="B39" s="3" t="s">
        <v>114</v>
      </c>
      <c r="C39" s="166"/>
      <c r="D39" s="114">
        <f>39580*1.005</f>
        <v>39777.899999999994</v>
      </c>
      <c r="E39" s="166"/>
      <c r="F39" s="114">
        <f>3233.67*12*1.02</f>
        <v>39580.120800000004</v>
      </c>
      <c r="G39" s="114"/>
      <c r="H39" s="114">
        <f>3233.67*12*1.02</f>
        <v>39580.120800000004</v>
      </c>
      <c r="I39" s="164"/>
      <c r="J39" s="124">
        <f>AK37</f>
        <v>29684.97</v>
      </c>
      <c r="K39" s="164"/>
      <c r="L39" s="199">
        <f>3170.25*1.02*12</f>
        <v>38803.86</v>
      </c>
      <c r="M39" s="199"/>
      <c r="N39" s="124">
        <f>AO37</f>
        <v>35570.37</v>
      </c>
      <c r="O39" s="3"/>
      <c r="P39" s="124">
        <f>AS37</f>
        <v>41276.67</v>
      </c>
      <c r="Q39" s="124"/>
      <c r="R39" s="124">
        <v>36820.92</v>
      </c>
      <c r="S39" s="124"/>
      <c r="T39" s="114">
        <v>36327</v>
      </c>
      <c r="U39" s="112"/>
      <c r="V39" s="114">
        <v>35721</v>
      </c>
      <c r="W39" s="112"/>
      <c r="X39" s="114">
        <v>34021</v>
      </c>
      <c r="Y39" s="112"/>
      <c r="AB39" s="7">
        <f t="shared" si="0"/>
        <v>197.77919999998994</v>
      </c>
      <c r="AG39" s="235"/>
      <c r="AH39" s="236"/>
      <c r="AI39" s="145"/>
      <c r="AJ39" s="145" t="s">
        <v>239</v>
      </c>
      <c r="AK39" s="146">
        <v>-23012.49</v>
      </c>
      <c r="AL39" s="189"/>
      <c r="AM39" s="189"/>
      <c r="AN39" s="145" t="s">
        <v>239</v>
      </c>
      <c r="AO39" s="146">
        <v>-9899.62</v>
      </c>
      <c r="AR39" s="150" t="s">
        <v>239</v>
      </c>
      <c r="AS39" s="151">
        <f t="shared" si="3"/>
        <v>9611.91</v>
      </c>
      <c r="AT39" s="222"/>
      <c r="AW39" s="150" t="s">
        <v>236</v>
      </c>
      <c r="AX39" s="151">
        <v>38043</v>
      </c>
      <c r="AY39" s="239"/>
      <c r="AZ39" s="78"/>
      <c r="BA39" s="78"/>
      <c r="BB39" s="145" t="s">
        <v>239</v>
      </c>
      <c r="BC39" s="146">
        <v>9611.91</v>
      </c>
      <c r="BD39" s="186"/>
      <c r="BE39" s="146">
        <v>9611.91</v>
      </c>
      <c r="BF39" s="189">
        <f t="shared" si="1"/>
        <v>0</v>
      </c>
      <c r="BG39" s="218"/>
      <c r="BH39" s="189"/>
      <c r="BI39" s="145" t="s">
        <v>239</v>
      </c>
      <c r="BJ39" s="146">
        <v>-9899.62</v>
      </c>
      <c r="BK39" s="150" t="s">
        <v>239</v>
      </c>
      <c r="BL39" s="151">
        <f t="shared" si="4"/>
        <v>0</v>
      </c>
      <c r="BR39" s="145" t="s">
        <v>239</v>
      </c>
      <c r="BS39" s="146">
        <v>-9899.62</v>
      </c>
      <c r="CA39" s="145" t="s">
        <v>239</v>
      </c>
      <c r="CB39" s="146">
        <v>-23012.49</v>
      </c>
    </row>
    <row r="40" spans="1:80" ht="24" thickBot="1" thickTop="1">
      <c r="A40" s="7">
        <f>A39+1</f>
        <v>33</v>
      </c>
      <c r="B40" s="26" t="s">
        <v>137</v>
      </c>
      <c r="C40" s="182"/>
      <c r="D40" s="117">
        <f>SUM(D35:D39)</f>
        <v>152134.305</v>
      </c>
      <c r="E40" s="182"/>
      <c r="F40" s="117">
        <f>SUM(F35:F39)</f>
        <v>151661.22240000003</v>
      </c>
      <c r="G40" s="117"/>
      <c r="H40" s="117">
        <f>SUM(H35:H39)</f>
        <v>151661.22240000003</v>
      </c>
      <c r="I40" s="183"/>
      <c r="J40" s="119">
        <f>SUM(J35:J39)</f>
        <v>113745.69</v>
      </c>
      <c r="K40" s="183"/>
      <c r="L40" s="184">
        <f>SUM(L35:L39)</f>
        <v>149804.328</v>
      </c>
      <c r="M40" s="184"/>
      <c r="N40" s="119">
        <f>SUM(N35:N39)</f>
        <v>146571.45</v>
      </c>
      <c r="O40" s="26"/>
      <c r="P40" s="119">
        <f>SUM(P35:P39)</f>
        <v>155344.71000000002</v>
      </c>
      <c r="Q40" s="119"/>
      <c r="R40" s="119">
        <f>SUM(R35:R39)</f>
        <v>145441.91999999998</v>
      </c>
      <c r="S40" s="119"/>
      <c r="T40" s="117">
        <f>SUM(T35:T39)</f>
        <v>148720.84</v>
      </c>
      <c r="U40" s="118"/>
      <c r="V40" s="117">
        <f>SUM(V35:V39)</f>
        <v>147296.04</v>
      </c>
      <c r="W40" s="118"/>
      <c r="X40" s="117">
        <f>SUM(X35:X39)</f>
        <v>145056.01</v>
      </c>
      <c r="Y40" s="118"/>
      <c r="AB40" s="7">
        <f aca="true" t="shared" si="5" ref="AB40:AB71">D40-F40</f>
        <v>473.08259999996517</v>
      </c>
      <c r="AG40" s="235"/>
      <c r="AH40" s="236"/>
      <c r="AI40" s="145"/>
      <c r="AJ40" s="145" t="s">
        <v>75</v>
      </c>
      <c r="AK40" s="146">
        <v>299.31</v>
      </c>
      <c r="AL40" s="189"/>
      <c r="AM40" s="189"/>
      <c r="AN40" s="145" t="s">
        <v>75</v>
      </c>
      <c r="AO40" s="146">
        <v>1362.54</v>
      </c>
      <c r="AR40" s="150" t="s">
        <v>75</v>
      </c>
      <c r="AS40" s="151">
        <f t="shared" si="3"/>
        <v>1901.24</v>
      </c>
      <c r="AT40" s="222"/>
      <c r="AW40" s="150" t="s">
        <v>237</v>
      </c>
      <c r="AX40" s="151">
        <v>41276.67</v>
      </c>
      <c r="AY40" s="239"/>
      <c r="AZ40" s="78"/>
      <c r="BA40" s="78"/>
      <c r="BB40" s="145" t="s">
        <v>75</v>
      </c>
      <c r="BC40" s="146">
        <v>1901.24</v>
      </c>
      <c r="BD40" s="186"/>
      <c r="BE40" s="146">
        <v>1901.24</v>
      </c>
      <c r="BF40" s="189">
        <f t="shared" si="1"/>
        <v>0</v>
      </c>
      <c r="BG40" s="218"/>
      <c r="BH40" s="189"/>
      <c r="BI40" s="145" t="s">
        <v>75</v>
      </c>
      <c r="BJ40" s="146">
        <v>1362.54</v>
      </c>
      <c r="BK40" s="150" t="s">
        <v>75</v>
      </c>
      <c r="BL40" s="151">
        <f t="shared" si="4"/>
        <v>0</v>
      </c>
      <c r="BR40" s="145" t="s">
        <v>75</v>
      </c>
      <c r="BS40" s="146">
        <v>1362.54</v>
      </c>
      <c r="CA40" s="145" t="s">
        <v>75</v>
      </c>
      <c r="CB40" s="146">
        <v>299.31</v>
      </c>
    </row>
    <row r="41" spans="1:80" ht="23.25" thickTop="1">
      <c r="A41" s="7">
        <f t="shared" si="2"/>
        <v>34</v>
      </c>
      <c r="B41" s="8" t="s">
        <v>76</v>
      </c>
      <c r="C41" s="166"/>
      <c r="D41" s="114"/>
      <c r="E41" s="166"/>
      <c r="F41" s="114"/>
      <c r="G41" s="114"/>
      <c r="H41" s="114"/>
      <c r="I41" s="166"/>
      <c r="J41" s="116"/>
      <c r="K41" s="166"/>
      <c r="L41" s="202"/>
      <c r="M41" s="202"/>
      <c r="N41" s="116"/>
      <c r="O41" s="8"/>
      <c r="P41" s="116"/>
      <c r="Q41" s="116"/>
      <c r="R41" s="116"/>
      <c r="S41" s="116"/>
      <c r="T41" s="114"/>
      <c r="U41" s="112"/>
      <c r="V41" s="114"/>
      <c r="W41" s="112"/>
      <c r="X41" s="114"/>
      <c r="Y41" s="112"/>
      <c r="AB41" s="7">
        <f t="shared" si="5"/>
        <v>0</v>
      </c>
      <c r="AG41" s="235"/>
      <c r="AH41" s="236"/>
      <c r="AI41" s="145"/>
      <c r="AJ41" s="145" t="s">
        <v>240</v>
      </c>
      <c r="AK41" s="146">
        <v>144.33</v>
      </c>
      <c r="AL41" s="189"/>
      <c r="AM41" s="189"/>
      <c r="AN41" s="145" t="s">
        <v>240</v>
      </c>
      <c r="AO41" s="146">
        <v>852.07</v>
      </c>
      <c r="AR41" s="150" t="s">
        <v>240</v>
      </c>
      <c r="AS41" s="151">
        <f t="shared" si="3"/>
        <v>555.94</v>
      </c>
      <c r="AT41" s="222"/>
      <c r="AW41" s="150" t="s">
        <v>238</v>
      </c>
      <c r="AX41" s="151">
        <v>224.52</v>
      </c>
      <c r="AY41" s="239"/>
      <c r="AZ41" s="78"/>
      <c r="BA41" s="78"/>
      <c r="BB41" s="145" t="s">
        <v>240</v>
      </c>
      <c r="BC41" s="146">
        <v>555.94</v>
      </c>
      <c r="BD41" s="186"/>
      <c r="BE41" s="146">
        <v>555.94</v>
      </c>
      <c r="BF41" s="189">
        <f t="shared" si="1"/>
        <v>0</v>
      </c>
      <c r="BG41" s="218"/>
      <c r="BH41" s="189"/>
      <c r="BI41" s="145" t="s">
        <v>240</v>
      </c>
      <c r="BJ41" s="146">
        <v>852.07</v>
      </c>
      <c r="BK41" s="150" t="s">
        <v>240</v>
      </c>
      <c r="BL41" s="151">
        <f t="shared" si="4"/>
        <v>0</v>
      </c>
      <c r="BR41" s="145" t="s">
        <v>240</v>
      </c>
      <c r="BS41" s="146">
        <v>852.07</v>
      </c>
      <c r="CA41" s="145" t="s">
        <v>240</v>
      </c>
      <c r="CB41" s="146">
        <v>144.33</v>
      </c>
    </row>
    <row r="42" spans="1:80" ht="22.5">
      <c r="A42" s="7">
        <f t="shared" si="2"/>
        <v>35</v>
      </c>
      <c r="B42" s="15" t="s">
        <v>67</v>
      </c>
      <c r="C42" s="168"/>
      <c r="D42" s="244">
        <v>2500</v>
      </c>
      <c r="E42" s="168"/>
      <c r="F42" s="244">
        <v>2500</v>
      </c>
      <c r="G42" s="244"/>
      <c r="H42" s="244">
        <v>600</v>
      </c>
      <c r="I42" s="166"/>
      <c r="J42" s="116">
        <f>AK12</f>
        <v>371.3</v>
      </c>
      <c r="K42" s="166"/>
      <c r="L42" s="201">
        <v>2500</v>
      </c>
      <c r="M42" s="201"/>
      <c r="N42" s="116">
        <f>AO12</f>
        <v>4998.85</v>
      </c>
      <c r="O42" s="15"/>
      <c r="P42" s="116">
        <f>AS12</f>
        <v>11726.37</v>
      </c>
      <c r="Q42" s="116"/>
      <c r="R42" s="116">
        <v>2067.92</v>
      </c>
      <c r="S42" s="116"/>
      <c r="T42" s="114">
        <f>4999.7</f>
        <v>4999.7</v>
      </c>
      <c r="U42" s="112"/>
      <c r="V42" s="114">
        <v>2550.02</v>
      </c>
      <c r="W42" s="112"/>
      <c r="X42" s="114">
        <v>10427.26</v>
      </c>
      <c r="Y42" s="112"/>
      <c r="AB42" s="7">
        <f t="shared" si="5"/>
        <v>0</v>
      </c>
      <c r="AG42" s="235"/>
      <c r="AH42" s="236"/>
      <c r="AI42" s="145"/>
      <c r="AJ42" s="145" t="s">
        <v>241</v>
      </c>
      <c r="AK42" s="146">
        <v>0</v>
      </c>
      <c r="AL42" s="189"/>
      <c r="AM42" s="189"/>
      <c r="AN42" s="145" t="s">
        <v>241</v>
      </c>
      <c r="AO42" s="146">
        <v>2100</v>
      </c>
      <c r="AR42" s="150" t="s">
        <v>241</v>
      </c>
      <c r="AS42" s="151">
        <f t="shared" si="3"/>
        <v>1740</v>
      </c>
      <c r="AT42" s="222"/>
      <c r="AW42" s="150" t="s">
        <v>239</v>
      </c>
      <c r="AX42" s="151">
        <v>9611.91</v>
      </c>
      <c r="AY42" s="239"/>
      <c r="AZ42" s="78"/>
      <c r="BA42" s="78"/>
      <c r="BB42" s="145" t="s">
        <v>241</v>
      </c>
      <c r="BC42" s="146">
        <v>1740</v>
      </c>
      <c r="BD42" s="186"/>
      <c r="BE42" s="146">
        <v>1740</v>
      </c>
      <c r="BF42" s="189">
        <f t="shared" si="1"/>
        <v>0</v>
      </c>
      <c r="BG42" s="218"/>
      <c r="BH42" s="189"/>
      <c r="BI42" s="145" t="s">
        <v>241</v>
      </c>
      <c r="BJ42" s="146">
        <v>2100</v>
      </c>
      <c r="BK42" s="150" t="s">
        <v>241</v>
      </c>
      <c r="BL42" s="151">
        <f t="shared" si="4"/>
        <v>0</v>
      </c>
      <c r="BR42" s="145" t="s">
        <v>241</v>
      </c>
      <c r="BS42" s="146">
        <v>2100</v>
      </c>
      <c r="CA42" s="145" t="s">
        <v>241</v>
      </c>
      <c r="CB42" s="146">
        <v>0</v>
      </c>
    </row>
    <row r="43" spans="1:80" ht="23.25">
      <c r="A43" s="7">
        <f t="shared" si="2"/>
        <v>36</v>
      </c>
      <c r="B43" s="3" t="s">
        <v>77</v>
      </c>
      <c r="C43" s="164"/>
      <c r="D43" s="245">
        <v>785000</v>
      </c>
      <c r="E43" s="164"/>
      <c r="F43" s="245">
        <v>785000</v>
      </c>
      <c r="G43" s="245"/>
      <c r="H43" s="245">
        <v>785000</v>
      </c>
      <c r="I43" s="166"/>
      <c r="J43" s="124">
        <f aca="true" t="shared" si="6" ref="J43:J49">AK74</f>
        <v>588753</v>
      </c>
      <c r="K43" s="166"/>
      <c r="L43" s="196">
        <v>780000</v>
      </c>
      <c r="M43" s="196"/>
      <c r="N43" s="124">
        <f aca="true" t="shared" si="7" ref="N43:N49">AO74</f>
        <v>780000</v>
      </c>
      <c r="O43" s="3"/>
      <c r="P43" s="124">
        <f aca="true" t="shared" si="8" ref="P43:P49">AS74</f>
        <v>774999.96</v>
      </c>
      <c r="Q43" s="125"/>
      <c r="R43" s="125">
        <v>755000.04</v>
      </c>
      <c r="S43" s="125"/>
      <c r="T43" s="114">
        <v>755000.04</v>
      </c>
      <c r="U43" s="112"/>
      <c r="V43" s="114">
        <v>755000.04</v>
      </c>
      <c r="W43" s="112"/>
      <c r="X43" s="114">
        <v>755003</v>
      </c>
      <c r="Y43" s="112"/>
      <c r="AB43" s="7">
        <f t="shared" si="5"/>
        <v>0</v>
      </c>
      <c r="AG43" s="235"/>
      <c r="AH43" s="236"/>
      <c r="AI43" s="145"/>
      <c r="AJ43" s="145" t="s">
        <v>242</v>
      </c>
      <c r="AK43" s="146">
        <v>762.72</v>
      </c>
      <c r="AL43" s="189"/>
      <c r="AM43" s="189"/>
      <c r="AN43" s="145" t="s">
        <v>242</v>
      </c>
      <c r="AO43" s="146">
        <v>3890.92</v>
      </c>
      <c r="AR43" s="150" t="s">
        <v>242</v>
      </c>
      <c r="AS43" s="151">
        <f t="shared" si="3"/>
        <v>4722.86</v>
      </c>
      <c r="AT43" s="222"/>
      <c r="AW43" s="150" t="s">
        <v>75</v>
      </c>
      <c r="AX43" s="151">
        <v>1901.24</v>
      </c>
      <c r="AY43" s="239"/>
      <c r="AZ43" s="78"/>
      <c r="BA43" s="78"/>
      <c r="BB43" s="145" t="s">
        <v>242</v>
      </c>
      <c r="BC43" s="146">
        <v>4722.86</v>
      </c>
      <c r="BD43" s="186"/>
      <c r="BE43" s="146">
        <v>4722.86</v>
      </c>
      <c r="BF43" s="189">
        <f t="shared" si="1"/>
        <v>0</v>
      </c>
      <c r="BG43" s="218"/>
      <c r="BH43" s="189"/>
      <c r="BI43" s="145" t="s">
        <v>242</v>
      </c>
      <c r="BJ43" s="146">
        <v>3855.28</v>
      </c>
      <c r="BK43" s="150" t="s">
        <v>242</v>
      </c>
      <c r="BL43" s="151">
        <f t="shared" si="4"/>
        <v>0</v>
      </c>
      <c r="BR43" s="145" t="s">
        <v>242</v>
      </c>
      <c r="BS43" s="146">
        <v>3855.28</v>
      </c>
      <c r="CA43" s="145" t="s">
        <v>242</v>
      </c>
      <c r="CB43" s="146">
        <v>762.72</v>
      </c>
    </row>
    <row r="44" spans="1:80" ht="22.5">
      <c r="A44" s="7">
        <f t="shared" si="2"/>
        <v>37</v>
      </c>
      <c r="B44" s="3" t="s">
        <v>8</v>
      </c>
      <c r="C44" s="169"/>
      <c r="D44" s="120">
        <v>27000</v>
      </c>
      <c r="E44" s="169"/>
      <c r="F44" s="120">
        <v>27000</v>
      </c>
      <c r="G44" s="120"/>
      <c r="H44" s="120">
        <v>31250</v>
      </c>
      <c r="I44" s="166"/>
      <c r="J44" s="124">
        <f t="shared" si="6"/>
        <v>31250</v>
      </c>
      <c r="K44" s="166"/>
      <c r="L44" s="120">
        <v>27000</v>
      </c>
      <c r="M44" s="120"/>
      <c r="N44" s="124">
        <f t="shared" si="7"/>
        <v>29900</v>
      </c>
      <c r="O44" s="3"/>
      <c r="P44" s="124">
        <f t="shared" si="8"/>
        <v>26000</v>
      </c>
      <c r="Q44" s="125"/>
      <c r="R44" s="125">
        <v>26000</v>
      </c>
      <c r="S44" s="125"/>
      <c r="T44" s="114">
        <v>28000</v>
      </c>
      <c r="U44" s="112"/>
      <c r="V44" s="114">
        <v>26000</v>
      </c>
      <c r="W44" s="112"/>
      <c r="X44" s="114">
        <v>26000</v>
      </c>
      <c r="Y44" s="112"/>
      <c r="AB44" s="7">
        <f t="shared" si="5"/>
        <v>0</v>
      </c>
      <c r="AG44" s="235"/>
      <c r="AH44" s="236"/>
      <c r="AI44" s="145"/>
      <c r="AJ44" s="145" t="s">
        <v>243</v>
      </c>
      <c r="AK44" s="146">
        <v>0</v>
      </c>
      <c r="AL44" s="189"/>
      <c r="AM44" s="189"/>
      <c r="AN44" s="145" t="s">
        <v>243</v>
      </c>
      <c r="AO44" s="146">
        <v>17751.89</v>
      </c>
      <c r="AR44" s="150" t="s">
        <v>243</v>
      </c>
      <c r="AS44" s="151">
        <f t="shared" si="3"/>
        <v>72.03</v>
      </c>
      <c r="AT44" s="222"/>
      <c r="AW44" s="150" t="s">
        <v>240</v>
      </c>
      <c r="AX44" s="151">
        <v>555.94</v>
      </c>
      <c r="AY44" s="239"/>
      <c r="AZ44" s="78"/>
      <c r="BA44" s="78"/>
      <c r="BB44" s="145" t="s">
        <v>243</v>
      </c>
      <c r="BC44" s="146">
        <v>72.03</v>
      </c>
      <c r="BD44" s="186"/>
      <c r="BE44" s="146">
        <v>72.03</v>
      </c>
      <c r="BF44" s="189">
        <f t="shared" si="1"/>
        <v>0</v>
      </c>
      <c r="BG44" s="218"/>
      <c r="BH44" s="189"/>
      <c r="BI44" s="145" t="s">
        <v>243</v>
      </c>
      <c r="BJ44" s="146">
        <v>17751.89</v>
      </c>
      <c r="BK44" s="150" t="s">
        <v>243</v>
      </c>
      <c r="BL44" s="151">
        <f t="shared" si="4"/>
        <v>0</v>
      </c>
      <c r="BR44" s="145" t="s">
        <v>243</v>
      </c>
      <c r="BS44" s="146">
        <v>17751.89</v>
      </c>
      <c r="CA44" s="145" t="s">
        <v>243</v>
      </c>
      <c r="CB44" s="146">
        <v>0</v>
      </c>
    </row>
    <row r="45" spans="1:80" ht="22.5">
      <c r="A45" s="7">
        <f t="shared" si="2"/>
        <v>38</v>
      </c>
      <c r="B45" s="3" t="s">
        <v>9</v>
      </c>
      <c r="C45" s="166"/>
      <c r="D45" s="120">
        <v>7000</v>
      </c>
      <c r="E45" s="166"/>
      <c r="F45" s="120">
        <v>7000</v>
      </c>
      <c r="G45" s="120"/>
      <c r="H45" s="120">
        <v>7000</v>
      </c>
      <c r="I45" s="166"/>
      <c r="J45" s="124">
        <f t="shared" si="6"/>
        <v>0</v>
      </c>
      <c r="K45" s="166"/>
      <c r="L45" s="120">
        <v>7000</v>
      </c>
      <c r="M45" s="120"/>
      <c r="N45" s="124">
        <f t="shared" si="7"/>
        <v>7000</v>
      </c>
      <c r="O45" s="3"/>
      <c r="P45" s="124">
        <f t="shared" si="8"/>
        <v>7000</v>
      </c>
      <c r="Q45" s="125"/>
      <c r="R45" s="125">
        <v>7000</v>
      </c>
      <c r="S45" s="125"/>
      <c r="T45" s="120">
        <v>7781.49</v>
      </c>
      <c r="U45" s="112"/>
      <c r="V45" s="120">
        <v>5500</v>
      </c>
      <c r="W45" s="112"/>
      <c r="X45" s="114">
        <v>5500</v>
      </c>
      <c r="Y45" s="112"/>
      <c r="AB45" s="7">
        <f t="shared" si="5"/>
        <v>0</v>
      </c>
      <c r="AG45" s="235"/>
      <c r="AH45" s="236"/>
      <c r="AI45" s="145"/>
      <c r="AJ45" s="145" t="s">
        <v>244</v>
      </c>
      <c r="AK45" s="146">
        <v>4000</v>
      </c>
      <c r="AL45" s="189"/>
      <c r="AM45" s="189"/>
      <c r="AN45" s="145" t="s">
        <v>244</v>
      </c>
      <c r="AO45" s="146">
        <v>3000</v>
      </c>
      <c r="AR45" s="150" t="s">
        <v>244</v>
      </c>
      <c r="AS45" s="151">
        <f t="shared" si="3"/>
        <v>1000</v>
      </c>
      <c r="AT45" s="222"/>
      <c r="AW45" s="150" t="s">
        <v>241</v>
      </c>
      <c r="AX45" s="151">
        <v>1740</v>
      </c>
      <c r="AY45" s="239"/>
      <c r="AZ45" s="78"/>
      <c r="BA45" s="78"/>
      <c r="BB45" s="145" t="s">
        <v>244</v>
      </c>
      <c r="BC45" s="146">
        <v>1000</v>
      </c>
      <c r="BD45" s="186"/>
      <c r="BE45" s="146">
        <v>1000</v>
      </c>
      <c r="BF45" s="189">
        <f t="shared" si="1"/>
        <v>0</v>
      </c>
      <c r="BG45" s="218"/>
      <c r="BH45" s="189"/>
      <c r="BI45" s="145" t="s">
        <v>244</v>
      </c>
      <c r="BJ45" s="146">
        <v>3000</v>
      </c>
      <c r="BK45" s="150" t="s">
        <v>244</v>
      </c>
      <c r="BL45" s="151">
        <f t="shared" si="4"/>
        <v>0</v>
      </c>
      <c r="BR45" s="145" t="s">
        <v>244</v>
      </c>
      <c r="BS45" s="146">
        <v>3000</v>
      </c>
      <c r="CA45" s="145" t="s">
        <v>244</v>
      </c>
      <c r="CB45" s="146">
        <v>4000</v>
      </c>
    </row>
    <row r="46" spans="1:80" ht="22.5">
      <c r="A46" s="7">
        <f t="shared" si="2"/>
        <v>39</v>
      </c>
      <c r="B46" s="3" t="s">
        <v>10</v>
      </c>
      <c r="C46" s="166"/>
      <c r="D46" s="120">
        <v>4500</v>
      </c>
      <c r="E46" s="166"/>
      <c r="F46" s="120">
        <v>4500</v>
      </c>
      <c r="G46" s="120"/>
      <c r="H46" s="120">
        <v>4500</v>
      </c>
      <c r="I46" s="166"/>
      <c r="J46" s="124">
        <f t="shared" si="6"/>
        <v>0</v>
      </c>
      <c r="K46" s="166"/>
      <c r="L46" s="120">
        <v>4500</v>
      </c>
      <c r="M46" s="120"/>
      <c r="N46" s="124">
        <f t="shared" si="7"/>
        <v>4500</v>
      </c>
      <c r="O46" s="3"/>
      <c r="P46" s="124">
        <f t="shared" si="8"/>
        <v>4500</v>
      </c>
      <c r="Q46" s="125"/>
      <c r="R46" s="125">
        <v>4500</v>
      </c>
      <c r="S46" s="125"/>
      <c r="T46" s="120">
        <v>4500</v>
      </c>
      <c r="U46" s="112"/>
      <c r="V46" s="120">
        <v>3937.17</v>
      </c>
      <c r="W46" s="112"/>
      <c r="X46" s="114">
        <v>3500</v>
      </c>
      <c r="Y46" s="112"/>
      <c r="AB46" s="7">
        <f t="shared" si="5"/>
        <v>0</v>
      </c>
      <c r="AG46" s="235"/>
      <c r="AH46" s="236"/>
      <c r="AI46" s="145"/>
      <c r="AJ46" s="145" t="s">
        <v>245</v>
      </c>
      <c r="AK46" s="146">
        <v>1857.29</v>
      </c>
      <c r="AL46" s="189"/>
      <c r="AM46" s="189"/>
      <c r="AN46" s="145" t="s">
        <v>245</v>
      </c>
      <c r="AO46" s="146">
        <v>5053.15</v>
      </c>
      <c r="AR46" s="150" t="s">
        <v>245</v>
      </c>
      <c r="AS46" s="151">
        <f t="shared" si="3"/>
        <v>3375.92</v>
      </c>
      <c r="AT46" s="222"/>
      <c r="AW46" s="150" t="s">
        <v>242</v>
      </c>
      <c r="AX46" s="151">
        <v>4722.86</v>
      </c>
      <c r="AY46" s="239"/>
      <c r="AZ46" s="78"/>
      <c r="BA46" s="78"/>
      <c r="BB46" s="145" t="s">
        <v>245</v>
      </c>
      <c r="BC46" s="146">
        <v>3375.92</v>
      </c>
      <c r="BD46" s="186"/>
      <c r="BE46" s="146">
        <v>3375.92</v>
      </c>
      <c r="BF46" s="189">
        <f t="shared" si="1"/>
        <v>0</v>
      </c>
      <c r="BG46" s="218"/>
      <c r="BH46" s="189"/>
      <c r="BI46" s="145" t="s">
        <v>245</v>
      </c>
      <c r="BJ46" s="146">
        <v>5053.15</v>
      </c>
      <c r="BK46" s="150" t="s">
        <v>245</v>
      </c>
      <c r="BL46" s="151">
        <f t="shared" si="4"/>
        <v>0</v>
      </c>
      <c r="BR46" s="145" t="s">
        <v>245</v>
      </c>
      <c r="BS46" s="146">
        <v>5053.15</v>
      </c>
      <c r="CA46" s="145" t="s">
        <v>245</v>
      </c>
      <c r="CB46" s="146">
        <v>1857.29</v>
      </c>
    </row>
    <row r="47" spans="1:80" ht="22.5">
      <c r="A47" s="7">
        <f t="shared" si="2"/>
        <v>40</v>
      </c>
      <c r="B47" s="3" t="s">
        <v>57</v>
      </c>
      <c r="C47" s="166"/>
      <c r="D47" s="115">
        <v>3000</v>
      </c>
      <c r="E47" s="166"/>
      <c r="F47" s="115">
        <v>3000</v>
      </c>
      <c r="G47" s="115"/>
      <c r="H47" s="115">
        <v>3000</v>
      </c>
      <c r="I47" s="166"/>
      <c r="J47" s="124">
        <f t="shared" si="6"/>
        <v>0</v>
      </c>
      <c r="K47" s="166"/>
      <c r="L47" s="120">
        <v>3000</v>
      </c>
      <c r="M47" s="120"/>
      <c r="N47" s="124">
        <f t="shared" si="7"/>
        <v>3000</v>
      </c>
      <c r="O47" s="3"/>
      <c r="P47" s="124">
        <f t="shared" si="8"/>
        <v>3000</v>
      </c>
      <c r="Q47" s="116"/>
      <c r="R47" s="116">
        <v>5000</v>
      </c>
      <c r="S47" s="116"/>
      <c r="T47" s="115">
        <v>5000</v>
      </c>
      <c r="U47" s="112"/>
      <c r="V47" s="115">
        <v>5000</v>
      </c>
      <c r="W47" s="112"/>
      <c r="X47" s="114">
        <v>5000</v>
      </c>
      <c r="Y47" s="112"/>
      <c r="AB47" s="7">
        <f t="shared" si="5"/>
        <v>0</v>
      </c>
      <c r="AG47" s="235"/>
      <c r="AH47" s="236"/>
      <c r="AI47" s="145"/>
      <c r="AJ47" s="145" t="s">
        <v>46</v>
      </c>
      <c r="AK47" s="146">
        <v>672.32</v>
      </c>
      <c r="AL47" s="189"/>
      <c r="AM47" s="189"/>
      <c r="AN47" s="145" t="s">
        <v>46</v>
      </c>
      <c r="AO47" s="146">
        <v>1012.13</v>
      </c>
      <c r="AR47" s="150" t="s">
        <v>46</v>
      </c>
      <c r="AS47" s="151">
        <f t="shared" si="3"/>
        <v>3220.12</v>
      </c>
      <c r="AT47" s="222"/>
      <c r="AW47" s="150" t="s">
        <v>243</v>
      </c>
      <c r="AX47" s="151">
        <v>72.03</v>
      </c>
      <c r="AY47" s="239"/>
      <c r="AZ47" s="78"/>
      <c r="BA47" s="78"/>
      <c r="BB47" s="145" t="s">
        <v>46</v>
      </c>
      <c r="BC47" s="146">
        <v>3220.12</v>
      </c>
      <c r="BD47" s="186"/>
      <c r="BE47" s="146">
        <v>3220.12</v>
      </c>
      <c r="BF47" s="189">
        <f t="shared" si="1"/>
        <v>0</v>
      </c>
      <c r="BG47" s="218"/>
      <c r="BH47" s="189"/>
      <c r="BI47" s="145" t="s">
        <v>46</v>
      </c>
      <c r="BJ47" s="146">
        <v>1012.13</v>
      </c>
      <c r="BK47" s="150" t="s">
        <v>46</v>
      </c>
      <c r="BL47" s="151">
        <f t="shared" si="4"/>
        <v>0</v>
      </c>
      <c r="BR47" s="145" t="s">
        <v>46</v>
      </c>
      <c r="BS47" s="146">
        <v>1012.13</v>
      </c>
      <c r="CA47" s="145" t="s">
        <v>46</v>
      </c>
      <c r="CB47" s="146">
        <v>672.32</v>
      </c>
    </row>
    <row r="48" spans="1:80" ht="22.5">
      <c r="A48" s="7">
        <f t="shared" si="2"/>
        <v>41</v>
      </c>
      <c r="B48" s="3" t="s">
        <v>11</v>
      </c>
      <c r="C48" s="166"/>
      <c r="D48" s="115">
        <v>2000</v>
      </c>
      <c r="E48" s="166"/>
      <c r="F48" s="115">
        <v>2000</v>
      </c>
      <c r="G48" s="115"/>
      <c r="H48" s="115">
        <v>2000</v>
      </c>
      <c r="I48" s="170"/>
      <c r="J48" s="124">
        <f t="shared" si="6"/>
        <v>0</v>
      </c>
      <c r="K48" s="170"/>
      <c r="L48" s="120">
        <v>2000</v>
      </c>
      <c r="M48" s="120"/>
      <c r="N48" s="124">
        <f t="shared" si="7"/>
        <v>2000</v>
      </c>
      <c r="O48" s="3"/>
      <c r="P48" s="124">
        <f t="shared" si="8"/>
        <v>2000</v>
      </c>
      <c r="Q48" s="116"/>
      <c r="R48" s="116">
        <v>2700</v>
      </c>
      <c r="S48" s="116"/>
      <c r="T48" s="115">
        <v>2700</v>
      </c>
      <c r="U48" s="112"/>
      <c r="V48" s="126">
        <v>2700</v>
      </c>
      <c r="W48" s="112"/>
      <c r="X48" s="114">
        <v>2700</v>
      </c>
      <c r="Y48" s="112"/>
      <c r="AB48" s="7">
        <f t="shared" si="5"/>
        <v>0</v>
      </c>
      <c r="AG48" s="235"/>
      <c r="AH48" s="236"/>
      <c r="AI48" s="145"/>
      <c r="AJ48" s="145" t="s">
        <v>246</v>
      </c>
      <c r="AK48" s="146">
        <v>2094.59</v>
      </c>
      <c r="AL48" s="189"/>
      <c r="AM48" s="189"/>
      <c r="AN48" s="145" t="s">
        <v>246</v>
      </c>
      <c r="AO48" s="146">
        <v>8513.36</v>
      </c>
      <c r="AR48" s="150" t="s">
        <v>246</v>
      </c>
      <c r="AS48" s="151">
        <f t="shared" si="3"/>
        <v>7246.04</v>
      </c>
      <c r="AT48" s="222"/>
      <c r="AW48" s="150" t="s">
        <v>244</v>
      </c>
      <c r="AX48" s="151">
        <v>1000</v>
      </c>
      <c r="AY48" s="239"/>
      <c r="AZ48" s="78"/>
      <c r="BA48" s="78"/>
      <c r="BB48" s="145" t="s">
        <v>246</v>
      </c>
      <c r="BC48" s="146">
        <v>7246.04</v>
      </c>
      <c r="BD48" s="186"/>
      <c r="BE48" s="146">
        <v>7246.04</v>
      </c>
      <c r="BF48" s="189">
        <f t="shared" si="1"/>
        <v>0</v>
      </c>
      <c r="BG48" s="218"/>
      <c r="BH48" s="189"/>
      <c r="BI48" s="145" t="s">
        <v>246</v>
      </c>
      <c r="BJ48" s="146">
        <v>8513.36</v>
      </c>
      <c r="BK48" s="150" t="s">
        <v>246</v>
      </c>
      <c r="BL48" s="151">
        <f t="shared" si="4"/>
        <v>0</v>
      </c>
      <c r="BR48" s="145" t="s">
        <v>246</v>
      </c>
      <c r="BS48" s="146">
        <v>8513.36</v>
      </c>
      <c r="CA48" s="145" t="s">
        <v>246</v>
      </c>
      <c r="CB48" s="146">
        <v>2094.59</v>
      </c>
    </row>
    <row r="49" spans="1:80" ht="24" thickBot="1">
      <c r="A49" s="7">
        <f>A48+1</f>
        <v>42</v>
      </c>
      <c r="B49" s="3" t="s">
        <v>184</v>
      </c>
      <c r="C49" s="166"/>
      <c r="D49" s="115">
        <v>1000</v>
      </c>
      <c r="E49" s="166"/>
      <c r="F49" s="115">
        <v>1000</v>
      </c>
      <c r="G49" s="115"/>
      <c r="H49" s="115">
        <v>1000</v>
      </c>
      <c r="I49" s="164"/>
      <c r="J49" s="124">
        <f t="shared" si="6"/>
        <v>0</v>
      </c>
      <c r="K49" s="164"/>
      <c r="L49" s="120">
        <v>1000</v>
      </c>
      <c r="M49" s="120"/>
      <c r="N49" s="124">
        <f t="shared" si="7"/>
        <v>1500</v>
      </c>
      <c r="O49" s="3"/>
      <c r="P49" s="124">
        <f t="shared" si="8"/>
        <v>0</v>
      </c>
      <c r="Q49" s="116"/>
      <c r="R49" s="116">
        <v>2000</v>
      </c>
      <c r="S49" s="116"/>
      <c r="T49" s="114">
        <v>1500</v>
      </c>
      <c r="U49" s="112"/>
      <c r="V49" s="114">
        <v>3506.41</v>
      </c>
      <c r="W49" s="112"/>
      <c r="X49" s="114">
        <v>6446</v>
      </c>
      <c r="Y49" s="112"/>
      <c r="AB49" s="7">
        <f t="shared" si="5"/>
        <v>0</v>
      </c>
      <c r="AG49" s="235"/>
      <c r="AH49" s="236"/>
      <c r="AI49" s="145"/>
      <c r="AJ49" s="145" t="s">
        <v>247</v>
      </c>
      <c r="AK49" s="146">
        <v>-323.2</v>
      </c>
      <c r="AL49" s="189"/>
      <c r="AM49" s="189"/>
      <c r="AN49" s="145" t="s">
        <v>247</v>
      </c>
      <c r="AO49" s="146">
        <v>169.28</v>
      </c>
      <c r="AR49" s="150" t="s">
        <v>247</v>
      </c>
      <c r="AS49" s="151">
        <f t="shared" si="3"/>
        <v>1373.99</v>
      </c>
      <c r="AT49" s="222"/>
      <c r="AW49" s="150" t="s">
        <v>245</v>
      </c>
      <c r="AX49" s="151">
        <v>3375.92</v>
      </c>
      <c r="AY49" s="239"/>
      <c r="AZ49" s="78"/>
      <c r="BA49" s="78"/>
      <c r="BB49" s="145" t="s">
        <v>247</v>
      </c>
      <c r="BC49" s="146">
        <v>1373.99</v>
      </c>
      <c r="BD49" s="186"/>
      <c r="BE49" s="146">
        <v>1373.99</v>
      </c>
      <c r="BF49" s="189">
        <f t="shared" si="1"/>
        <v>0</v>
      </c>
      <c r="BG49" s="218"/>
      <c r="BH49" s="189"/>
      <c r="BI49" s="145" t="s">
        <v>247</v>
      </c>
      <c r="BJ49" s="146">
        <v>169.28</v>
      </c>
      <c r="BK49" s="150" t="s">
        <v>247</v>
      </c>
      <c r="BL49" s="151">
        <f t="shared" si="4"/>
        <v>0</v>
      </c>
      <c r="BR49" s="145" t="s">
        <v>247</v>
      </c>
      <c r="BS49" s="146">
        <v>169.28</v>
      </c>
      <c r="CA49" s="145" t="s">
        <v>247</v>
      </c>
      <c r="CB49" s="146">
        <v>-323.2</v>
      </c>
    </row>
    <row r="50" spans="1:80" ht="24" thickBot="1" thickTop="1">
      <c r="A50" s="7">
        <f>A49+1</f>
        <v>43</v>
      </c>
      <c r="B50" s="25" t="s">
        <v>138</v>
      </c>
      <c r="C50" s="182"/>
      <c r="D50" s="117">
        <f>SUM(D41:D49)</f>
        <v>832000</v>
      </c>
      <c r="E50" s="182"/>
      <c r="F50" s="117">
        <f>SUM(F41:F49)</f>
        <v>832000</v>
      </c>
      <c r="G50" s="117"/>
      <c r="H50" s="117">
        <f>SUM(H41:H49)</f>
        <v>834350</v>
      </c>
      <c r="I50" s="182"/>
      <c r="J50" s="119">
        <f>SUM(J41:J49)</f>
        <v>620374.3</v>
      </c>
      <c r="K50" s="182"/>
      <c r="L50" s="184">
        <f>SUM(L41:L49)</f>
        <v>827000</v>
      </c>
      <c r="M50" s="184"/>
      <c r="N50" s="119">
        <f>SUM(N41:N49)</f>
        <v>832898.85</v>
      </c>
      <c r="O50" s="25"/>
      <c r="P50" s="119">
        <f>SUM(P41:P49)</f>
        <v>829226.33</v>
      </c>
      <c r="Q50" s="119"/>
      <c r="R50" s="119">
        <f>SUM(R41:R49)</f>
        <v>804267.9600000001</v>
      </c>
      <c r="S50" s="119"/>
      <c r="T50" s="117">
        <f>SUM(T41:T49)</f>
        <v>809481.23</v>
      </c>
      <c r="U50" s="118"/>
      <c r="V50" s="117">
        <f>SUM(V41:V49)</f>
        <v>804193.6400000001</v>
      </c>
      <c r="W50" s="118"/>
      <c r="X50" s="117">
        <f>SUM(X41:X49)</f>
        <v>814576.26</v>
      </c>
      <c r="Y50" s="118"/>
      <c r="AB50" s="7">
        <f t="shared" si="5"/>
        <v>0</v>
      </c>
      <c r="AG50" s="235"/>
      <c r="AH50" s="236"/>
      <c r="AI50" s="145"/>
      <c r="AJ50" s="145" t="s">
        <v>69</v>
      </c>
      <c r="AK50" s="146">
        <v>5886.38</v>
      </c>
      <c r="AL50" s="189"/>
      <c r="AM50" s="189"/>
      <c r="AN50" s="145" t="s">
        <v>69</v>
      </c>
      <c r="AO50" s="146">
        <v>8858.16</v>
      </c>
      <c r="AR50" s="150" t="s">
        <v>69</v>
      </c>
      <c r="AS50" s="151">
        <f t="shared" si="3"/>
        <v>16356.21</v>
      </c>
      <c r="AT50" s="222"/>
      <c r="AW50" s="150" t="s">
        <v>46</v>
      </c>
      <c r="AX50" s="151">
        <v>3220.12</v>
      </c>
      <c r="AY50" s="239"/>
      <c r="AZ50" s="78"/>
      <c r="BA50" s="78"/>
      <c r="BB50" s="145" t="s">
        <v>69</v>
      </c>
      <c r="BC50" s="146">
        <v>16356.21</v>
      </c>
      <c r="BD50" s="186"/>
      <c r="BE50" s="146">
        <v>16356.21</v>
      </c>
      <c r="BF50" s="189">
        <f t="shared" si="1"/>
        <v>0</v>
      </c>
      <c r="BG50" s="218"/>
      <c r="BH50" s="189"/>
      <c r="BI50" s="145" t="s">
        <v>69</v>
      </c>
      <c r="BJ50" s="146">
        <v>8858.16</v>
      </c>
      <c r="BK50" s="150" t="s">
        <v>69</v>
      </c>
      <c r="BL50" s="151">
        <f t="shared" si="4"/>
        <v>0</v>
      </c>
      <c r="BR50" s="145" t="s">
        <v>69</v>
      </c>
      <c r="BS50" s="146">
        <v>8858.16</v>
      </c>
      <c r="CA50" s="145" t="s">
        <v>69</v>
      </c>
      <c r="CB50" s="146">
        <v>5886.38</v>
      </c>
    </row>
    <row r="51" spans="1:80" ht="23.25" thickTop="1">
      <c r="A51" s="7">
        <f>A50+1</f>
        <v>44</v>
      </c>
      <c r="B51" s="8" t="s">
        <v>89</v>
      </c>
      <c r="C51" s="166"/>
      <c r="D51" s="114"/>
      <c r="E51" s="166"/>
      <c r="F51" s="114"/>
      <c r="G51" s="114"/>
      <c r="H51" s="114"/>
      <c r="I51" s="166"/>
      <c r="J51" s="116"/>
      <c r="K51" s="166"/>
      <c r="L51" s="202"/>
      <c r="M51" s="203"/>
      <c r="N51" s="116"/>
      <c r="O51" s="8"/>
      <c r="P51" s="116"/>
      <c r="Q51" s="116"/>
      <c r="R51" s="116"/>
      <c r="S51" s="116"/>
      <c r="T51" s="114"/>
      <c r="U51" s="112"/>
      <c r="V51" s="114"/>
      <c r="W51" s="112"/>
      <c r="X51" s="114"/>
      <c r="Y51" s="112"/>
      <c r="AB51" s="7">
        <f t="shared" si="5"/>
        <v>0</v>
      </c>
      <c r="AG51" s="235"/>
      <c r="AH51" s="236"/>
      <c r="AI51" s="145"/>
      <c r="AJ51" s="145" t="s">
        <v>248</v>
      </c>
      <c r="AK51" s="146">
        <v>297.59</v>
      </c>
      <c r="AL51" s="189"/>
      <c r="AM51" s="189"/>
      <c r="AN51" s="145" t="s">
        <v>248</v>
      </c>
      <c r="AO51" s="146">
        <v>3842.48</v>
      </c>
      <c r="AR51" s="150" t="s">
        <v>248</v>
      </c>
      <c r="AS51" s="151">
        <f t="shared" si="3"/>
        <v>1411.94</v>
      </c>
      <c r="AT51" s="222"/>
      <c r="AW51" s="150" t="s">
        <v>246</v>
      </c>
      <c r="AX51" s="151">
        <v>7246.04</v>
      </c>
      <c r="AY51" s="239"/>
      <c r="AZ51" s="78"/>
      <c r="BA51" s="78"/>
      <c r="BB51" s="145" t="s">
        <v>248</v>
      </c>
      <c r="BC51" s="146">
        <v>1411.94</v>
      </c>
      <c r="BD51" s="186"/>
      <c r="BE51" s="146">
        <v>1411.94</v>
      </c>
      <c r="BF51" s="189">
        <f t="shared" si="1"/>
        <v>0</v>
      </c>
      <c r="BG51" s="218"/>
      <c r="BH51" s="189"/>
      <c r="BI51" s="145" t="s">
        <v>248</v>
      </c>
      <c r="BJ51" s="146">
        <v>3842.48</v>
      </c>
      <c r="BK51" s="150" t="s">
        <v>248</v>
      </c>
      <c r="BL51" s="151">
        <f t="shared" si="4"/>
        <v>0</v>
      </c>
      <c r="BR51" s="145" t="s">
        <v>248</v>
      </c>
      <c r="BS51" s="146">
        <v>3842.48</v>
      </c>
      <c r="CA51" s="145" t="s">
        <v>248</v>
      </c>
      <c r="CB51" s="146">
        <v>297.59</v>
      </c>
    </row>
    <row r="52" spans="1:80" ht="22.5">
      <c r="A52" s="7">
        <f t="shared" si="2"/>
        <v>45</v>
      </c>
      <c r="B52" s="3" t="s">
        <v>3</v>
      </c>
      <c r="C52" s="170"/>
      <c r="D52" s="114">
        <v>72250</v>
      </c>
      <c r="E52" s="170"/>
      <c r="F52" s="114">
        <f>68650</f>
        <v>68650</v>
      </c>
      <c r="G52" s="114"/>
      <c r="H52" s="114">
        <f>68650</f>
        <v>68650</v>
      </c>
      <c r="I52" s="166"/>
      <c r="J52" s="116">
        <f>AK60</f>
        <v>29558.87</v>
      </c>
      <c r="K52" s="166"/>
      <c r="L52" s="199">
        <v>45000</v>
      </c>
      <c r="M52" s="204"/>
      <c r="N52" s="116">
        <f>AO60</f>
        <v>31890.04</v>
      </c>
      <c r="O52" s="263"/>
      <c r="P52" s="116">
        <f>AS60</f>
        <v>44260.34</v>
      </c>
      <c r="Q52" s="116"/>
      <c r="R52" s="116">
        <v>44959.53</v>
      </c>
      <c r="S52" s="116"/>
      <c r="T52" s="126">
        <v>49736.25</v>
      </c>
      <c r="U52" s="112"/>
      <c r="V52" s="114">
        <v>50090.62</v>
      </c>
      <c r="W52" s="112"/>
      <c r="X52" s="114">
        <v>51768.48</v>
      </c>
      <c r="Y52" s="112"/>
      <c r="AB52" s="7">
        <f t="shared" si="5"/>
        <v>3600</v>
      </c>
      <c r="AG52" s="235"/>
      <c r="AH52" s="236"/>
      <c r="AI52" s="145"/>
      <c r="AJ52" s="145" t="s">
        <v>249</v>
      </c>
      <c r="AK52" s="146">
        <v>0</v>
      </c>
      <c r="AL52" s="189"/>
      <c r="AM52" s="189"/>
      <c r="AN52" s="145" t="s">
        <v>249</v>
      </c>
      <c r="AO52" s="146">
        <v>0</v>
      </c>
      <c r="AR52" s="150" t="s">
        <v>249</v>
      </c>
      <c r="AS52" s="151">
        <f t="shared" si="3"/>
        <v>0</v>
      </c>
      <c r="AT52" s="222"/>
      <c r="AW52" s="150" t="s">
        <v>247</v>
      </c>
      <c r="AX52" s="151">
        <v>1373.99</v>
      </c>
      <c r="AY52" s="239"/>
      <c r="AZ52" s="78"/>
      <c r="BA52" s="78"/>
      <c r="BB52" s="145" t="s">
        <v>249</v>
      </c>
      <c r="BC52" s="146">
        <v>0</v>
      </c>
      <c r="BD52" s="186"/>
      <c r="BE52" s="146">
        <v>0</v>
      </c>
      <c r="BF52" s="189">
        <f t="shared" si="1"/>
        <v>0</v>
      </c>
      <c r="BG52" s="218"/>
      <c r="BH52" s="189"/>
      <c r="BI52" s="145" t="s">
        <v>249</v>
      </c>
      <c r="BJ52" s="146">
        <v>0</v>
      </c>
      <c r="BK52" s="150" t="s">
        <v>249</v>
      </c>
      <c r="BL52" s="151">
        <f t="shared" si="4"/>
        <v>0</v>
      </c>
      <c r="BR52" s="145" t="s">
        <v>249</v>
      </c>
      <c r="BS52" s="146">
        <v>0</v>
      </c>
      <c r="CA52" s="145" t="s">
        <v>249</v>
      </c>
      <c r="CB52" s="146">
        <v>0</v>
      </c>
    </row>
    <row r="53" spans="1:80" ht="23.25">
      <c r="A53" s="7">
        <f t="shared" si="2"/>
        <v>46</v>
      </c>
      <c r="B53" s="3" t="s">
        <v>4</v>
      </c>
      <c r="C53" s="164"/>
      <c r="D53" s="114">
        <f>-61000</f>
        <v>-61000</v>
      </c>
      <c r="E53" s="164"/>
      <c r="F53" s="114">
        <f>-59875</f>
        <v>-59875</v>
      </c>
      <c r="G53" s="114"/>
      <c r="H53" s="114">
        <f>-59875</f>
        <v>-59875</v>
      </c>
      <c r="I53" s="166"/>
      <c r="J53" s="116">
        <f>-AK62</f>
        <v>-37986.48</v>
      </c>
      <c r="K53" s="166"/>
      <c r="L53" s="199">
        <v>-40500</v>
      </c>
      <c r="M53" s="204"/>
      <c r="N53" s="116">
        <f>-AO62</f>
        <v>-35000.37</v>
      </c>
      <c r="O53" s="3"/>
      <c r="P53" s="116">
        <f>-AS62</f>
        <v>-26670.88</v>
      </c>
      <c r="Q53" s="116"/>
      <c r="R53" s="116">
        <v>-38280.39</v>
      </c>
      <c r="S53" s="116"/>
      <c r="T53" s="115">
        <f>-44514.59</f>
        <v>-44514.59</v>
      </c>
      <c r="U53" s="112"/>
      <c r="V53" s="114">
        <f>-46528.21</f>
        <v>-46528.21</v>
      </c>
      <c r="W53" s="112"/>
      <c r="X53" s="114">
        <v>-46865.41</v>
      </c>
      <c r="Y53" s="112"/>
      <c r="AB53" s="7">
        <f t="shared" si="5"/>
        <v>-1125</v>
      </c>
      <c r="AG53" s="235"/>
      <c r="AH53" s="236"/>
      <c r="AI53" s="145"/>
      <c r="AJ53" s="145" t="s">
        <v>250</v>
      </c>
      <c r="AK53" s="146">
        <v>0</v>
      </c>
      <c r="AL53" s="189"/>
      <c r="AM53" s="189"/>
      <c r="AN53" s="145" t="s">
        <v>250</v>
      </c>
      <c r="AO53" s="146">
        <v>768.54</v>
      </c>
      <c r="AR53" s="150" t="s">
        <v>250</v>
      </c>
      <c r="AS53" s="151">
        <f t="shared" si="3"/>
        <v>884.44</v>
      </c>
      <c r="AT53" s="222"/>
      <c r="AW53" s="150" t="s">
        <v>69</v>
      </c>
      <c r="AX53" s="151">
        <v>16356.21</v>
      </c>
      <c r="AY53" s="239"/>
      <c r="AZ53" s="78"/>
      <c r="BA53" s="78"/>
      <c r="BB53" s="145" t="s">
        <v>250</v>
      </c>
      <c r="BC53" s="146">
        <v>884.44</v>
      </c>
      <c r="BD53" s="186"/>
      <c r="BE53" s="146">
        <v>884.44</v>
      </c>
      <c r="BF53" s="189">
        <f t="shared" si="1"/>
        <v>0</v>
      </c>
      <c r="BG53" s="218"/>
      <c r="BH53" s="189"/>
      <c r="BI53" s="145" t="s">
        <v>250</v>
      </c>
      <c r="BJ53" s="146">
        <v>768.54</v>
      </c>
      <c r="BK53" s="150" t="s">
        <v>250</v>
      </c>
      <c r="BL53" s="151">
        <f t="shared" si="4"/>
        <v>0</v>
      </c>
      <c r="BR53" s="145" t="s">
        <v>250</v>
      </c>
      <c r="BS53" s="146">
        <v>768.54</v>
      </c>
      <c r="CA53" s="145" t="s">
        <v>250</v>
      </c>
      <c r="CB53" s="146">
        <v>0</v>
      </c>
    </row>
    <row r="54" spans="1:80" ht="22.5">
      <c r="A54" s="7">
        <f t="shared" si="2"/>
        <v>47</v>
      </c>
      <c r="B54" s="3" t="s">
        <v>5</v>
      </c>
      <c r="C54" s="166"/>
      <c r="D54" s="127">
        <f>D52+D53</f>
        <v>11250</v>
      </c>
      <c r="E54" s="166"/>
      <c r="F54" s="127">
        <f>F52+F53</f>
        <v>8775</v>
      </c>
      <c r="G54" s="276"/>
      <c r="H54" s="127">
        <f>H52+H53</f>
        <v>8775</v>
      </c>
      <c r="I54" s="166"/>
      <c r="J54" s="128">
        <f>J52+J53</f>
        <v>-8427.610000000004</v>
      </c>
      <c r="K54" s="166"/>
      <c r="L54" s="226">
        <f>L52+L53</f>
        <v>4500</v>
      </c>
      <c r="M54" s="220"/>
      <c r="N54" s="128">
        <f>N52+N53</f>
        <v>-3110.3300000000017</v>
      </c>
      <c r="O54" s="3"/>
      <c r="P54" s="128">
        <f>P52+P53</f>
        <v>17589.459999999995</v>
      </c>
      <c r="Q54" s="144"/>
      <c r="R54" s="128">
        <f>R52+R53</f>
        <v>6679.139999999999</v>
      </c>
      <c r="S54" s="144"/>
      <c r="T54" s="129">
        <f>T52+T53</f>
        <v>5221.6600000000035</v>
      </c>
      <c r="U54" s="112"/>
      <c r="V54" s="127">
        <f>V52+V53</f>
        <v>3562.4100000000035</v>
      </c>
      <c r="W54" s="112"/>
      <c r="X54" s="127">
        <f>X52+X53</f>
        <v>4903.07</v>
      </c>
      <c r="Y54" s="112"/>
      <c r="AB54" s="7">
        <f t="shared" si="5"/>
        <v>2475</v>
      </c>
      <c r="AG54" s="235"/>
      <c r="AH54" s="236"/>
      <c r="AI54" s="145"/>
      <c r="AJ54" s="145" t="s">
        <v>251</v>
      </c>
      <c r="AK54" s="146">
        <v>0</v>
      </c>
      <c r="AL54" s="189"/>
      <c r="AM54" s="189"/>
      <c r="AN54" s="145" t="s">
        <v>251</v>
      </c>
      <c r="AO54" s="146">
        <v>32004.2</v>
      </c>
      <c r="AR54" s="150" t="s">
        <v>251</v>
      </c>
      <c r="AS54" s="151">
        <f t="shared" si="3"/>
        <v>34563.69</v>
      </c>
      <c r="AT54" s="222"/>
      <c r="AW54" s="150" t="s">
        <v>248</v>
      </c>
      <c r="AX54" s="151">
        <v>1411.94</v>
      </c>
      <c r="AY54" s="239"/>
      <c r="AZ54" s="78"/>
      <c r="BA54" s="78"/>
      <c r="BB54" s="145" t="s">
        <v>251</v>
      </c>
      <c r="BC54" s="146">
        <v>34563.69</v>
      </c>
      <c r="BD54" s="186"/>
      <c r="BE54" s="146">
        <v>34563.69</v>
      </c>
      <c r="BF54" s="189">
        <f t="shared" si="1"/>
        <v>0</v>
      </c>
      <c r="BG54" s="218"/>
      <c r="BH54" s="189"/>
      <c r="BI54" s="145" t="s">
        <v>251</v>
      </c>
      <c r="BJ54" s="146">
        <v>32004.2</v>
      </c>
      <c r="BK54" s="150" t="s">
        <v>251</v>
      </c>
      <c r="BL54" s="151">
        <f t="shared" si="4"/>
        <v>0</v>
      </c>
      <c r="BR54" s="145" t="s">
        <v>251</v>
      </c>
      <c r="BS54" s="146">
        <v>32004.2</v>
      </c>
      <c r="CA54" s="145" t="s">
        <v>251</v>
      </c>
      <c r="CB54" s="146">
        <v>0</v>
      </c>
    </row>
    <row r="55" spans="1:80" ht="22.5">
      <c r="A55" s="7">
        <f t="shared" si="2"/>
        <v>48</v>
      </c>
      <c r="B55" s="15" t="s">
        <v>103</v>
      </c>
      <c r="C55" s="166"/>
      <c r="D55" s="114">
        <v>32000</v>
      </c>
      <c r="E55" s="166"/>
      <c r="F55" s="114">
        <v>32000</v>
      </c>
      <c r="G55" s="114"/>
      <c r="H55" s="114">
        <v>32000</v>
      </c>
      <c r="I55" s="169"/>
      <c r="J55" s="122">
        <f>AK54</f>
        <v>0</v>
      </c>
      <c r="K55" s="169"/>
      <c r="L55" s="199">
        <v>32000</v>
      </c>
      <c r="M55" s="204"/>
      <c r="N55" s="122">
        <f>AO54</f>
        <v>32004.2</v>
      </c>
      <c r="O55" s="15"/>
      <c r="P55" s="122">
        <f>AS54</f>
        <v>34563.69</v>
      </c>
      <c r="Q55" s="116"/>
      <c r="R55" s="116">
        <v>32133.67</v>
      </c>
      <c r="S55" s="116"/>
      <c r="T55" s="114">
        <v>36561.9</v>
      </c>
      <c r="U55" s="112"/>
      <c r="V55" s="114">
        <v>32066.41</v>
      </c>
      <c r="W55" s="112"/>
      <c r="X55" s="114">
        <f>32067.89</f>
        <v>32067.89</v>
      </c>
      <c r="Y55" s="112"/>
      <c r="AB55" s="7">
        <f t="shared" si="5"/>
        <v>0</v>
      </c>
      <c r="AG55" s="235"/>
      <c r="AH55" s="236"/>
      <c r="AI55" s="145"/>
      <c r="AJ55" s="145" t="s">
        <v>252</v>
      </c>
      <c r="AK55" s="146">
        <v>0</v>
      </c>
      <c r="AL55" s="189"/>
      <c r="AM55" s="189"/>
      <c r="AN55" s="145" t="s">
        <v>252</v>
      </c>
      <c r="AO55" s="146">
        <v>0.4</v>
      </c>
      <c r="AR55" s="150" t="s">
        <v>252</v>
      </c>
      <c r="AS55" s="151">
        <f t="shared" si="3"/>
        <v>33</v>
      </c>
      <c r="AT55" s="222"/>
      <c r="AW55" s="150" t="s">
        <v>249</v>
      </c>
      <c r="AX55" s="151">
        <v>0</v>
      </c>
      <c r="AY55" s="239"/>
      <c r="AZ55" s="78"/>
      <c r="BA55" s="78"/>
      <c r="BB55" s="145" t="s">
        <v>252</v>
      </c>
      <c r="BC55" s="146">
        <v>33</v>
      </c>
      <c r="BD55" s="186"/>
      <c r="BE55" s="146">
        <v>33</v>
      </c>
      <c r="BF55" s="189">
        <f t="shared" si="1"/>
        <v>0</v>
      </c>
      <c r="BG55" s="218"/>
      <c r="BH55" s="189"/>
      <c r="BI55" s="145" t="s">
        <v>252</v>
      </c>
      <c r="BJ55" s="146">
        <v>0.4</v>
      </c>
      <c r="BK55" s="150" t="s">
        <v>252</v>
      </c>
      <c r="BL55" s="151">
        <f t="shared" si="4"/>
        <v>0</v>
      </c>
      <c r="BR55" s="145" t="s">
        <v>252</v>
      </c>
      <c r="BS55" s="146">
        <v>0.4</v>
      </c>
      <c r="CA55" s="145" t="s">
        <v>252</v>
      </c>
      <c r="CB55" s="146">
        <v>0</v>
      </c>
    </row>
    <row r="56" spans="1:80" ht="22.5">
      <c r="A56" s="7">
        <f t="shared" si="2"/>
        <v>49</v>
      </c>
      <c r="B56" s="15" t="s">
        <v>60</v>
      </c>
      <c r="C56" s="166"/>
      <c r="D56" s="114">
        <v>500</v>
      </c>
      <c r="E56" s="166"/>
      <c r="F56" s="114">
        <v>500</v>
      </c>
      <c r="G56" s="114"/>
      <c r="H56" s="114">
        <v>0</v>
      </c>
      <c r="I56" s="169"/>
      <c r="J56" s="116">
        <f>AK55</f>
        <v>0</v>
      </c>
      <c r="K56" s="169"/>
      <c r="L56" s="199">
        <v>500</v>
      </c>
      <c r="M56" s="204"/>
      <c r="N56" s="116">
        <f>AO55</f>
        <v>0.4</v>
      </c>
      <c r="O56" s="15"/>
      <c r="P56" s="116">
        <f>AS55</f>
        <v>33</v>
      </c>
      <c r="Q56" s="116"/>
      <c r="R56" s="116">
        <v>117.6</v>
      </c>
      <c r="S56" s="116"/>
      <c r="T56" s="114">
        <v>43</v>
      </c>
      <c r="U56" s="112"/>
      <c r="V56" s="114">
        <v>168.81</v>
      </c>
      <c r="W56" s="112"/>
      <c r="X56" s="114">
        <v>152.65</v>
      </c>
      <c r="Y56" s="112"/>
      <c r="AB56" s="7">
        <f t="shared" si="5"/>
        <v>0</v>
      </c>
      <c r="AG56" s="235"/>
      <c r="AH56" s="236"/>
      <c r="AI56" s="145"/>
      <c r="AJ56" s="145" t="s">
        <v>253</v>
      </c>
      <c r="AK56" s="146">
        <v>42750</v>
      </c>
      <c r="AL56" s="189"/>
      <c r="AM56" s="189"/>
      <c r="AN56" s="145" t="s">
        <v>253</v>
      </c>
      <c r="AO56" s="146">
        <v>57000</v>
      </c>
      <c r="AR56" s="150" t="s">
        <v>253</v>
      </c>
      <c r="AS56" s="151">
        <f t="shared" si="3"/>
        <v>57000</v>
      </c>
      <c r="AT56" s="222"/>
      <c r="AW56" s="150" t="s">
        <v>250</v>
      </c>
      <c r="AX56" s="151">
        <v>884.44</v>
      </c>
      <c r="AY56" s="239"/>
      <c r="AZ56" s="78"/>
      <c r="BA56" s="78"/>
      <c r="BB56" s="145" t="s">
        <v>253</v>
      </c>
      <c r="BC56" s="146">
        <v>57000</v>
      </c>
      <c r="BD56" s="186"/>
      <c r="BE56" s="146">
        <v>57000</v>
      </c>
      <c r="BF56" s="189">
        <f t="shared" si="1"/>
        <v>0</v>
      </c>
      <c r="BG56" s="218"/>
      <c r="BH56" s="189"/>
      <c r="BI56" s="145" t="s">
        <v>253</v>
      </c>
      <c r="BJ56" s="146">
        <v>57000</v>
      </c>
      <c r="BK56" s="150" t="s">
        <v>253</v>
      </c>
      <c r="BL56" s="151">
        <f t="shared" si="4"/>
        <v>0</v>
      </c>
      <c r="BR56" s="145" t="s">
        <v>253</v>
      </c>
      <c r="BS56" s="146">
        <v>57000</v>
      </c>
      <c r="CA56" s="145" t="s">
        <v>253</v>
      </c>
      <c r="CB56" s="146">
        <v>42750</v>
      </c>
    </row>
    <row r="57" spans="1:80" ht="22.5">
      <c r="A57" s="7">
        <f t="shared" si="2"/>
        <v>50</v>
      </c>
      <c r="B57" s="3" t="s">
        <v>105</v>
      </c>
      <c r="C57" s="169"/>
      <c r="D57" s="114">
        <v>6000</v>
      </c>
      <c r="E57" s="169"/>
      <c r="F57" s="114">
        <v>6000</v>
      </c>
      <c r="G57" s="114"/>
      <c r="H57" s="114">
        <v>1200</v>
      </c>
      <c r="I57" s="166"/>
      <c r="J57" s="116">
        <f>AK43</f>
        <v>762.72</v>
      </c>
      <c r="K57" s="166"/>
      <c r="L57" s="199">
        <v>7000</v>
      </c>
      <c r="M57" s="199"/>
      <c r="N57" s="116">
        <f>AO43</f>
        <v>3890.92</v>
      </c>
      <c r="O57" s="3"/>
      <c r="P57" s="116">
        <f>AS43</f>
        <v>4722.86</v>
      </c>
      <c r="Q57" s="116"/>
      <c r="R57" s="116">
        <v>9086.34</v>
      </c>
      <c r="S57" s="116"/>
      <c r="T57" s="114">
        <v>6081.36</v>
      </c>
      <c r="U57" s="112"/>
      <c r="V57" s="114">
        <v>4505.78</v>
      </c>
      <c r="W57" s="112"/>
      <c r="X57" s="114">
        <v>4867.54</v>
      </c>
      <c r="Y57" s="112"/>
      <c r="AB57" s="7">
        <f t="shared" si="5"/>
        <v>0</v>
      </c>
      <c r="AG57" s="235"/>
      <c r="AH57" s="236"/>
      <c r="AI57" s="145"/>
      <c r="AJ57" s="145" t="s">
        <v>254</v>
      </c>
      <c r="AK57" s="146">
        <v>-29.32</v>
      </c>
      <c r="AL57" s="189"/>
      <c r="AM57" s="189"/>
      <c r="AN57" s="145" t="s">
        <v>254</v>
      </c>
      <c r="AO57" s="146">
        <v>3970.68</v>
      </c>
      <c r="AR57" s="150" t="s">
        <v>254</v>
      </c>
      <c r="AS57" s="151">
        <f t="shared" si="3"/>
        <v>3912.04</v>
      </c>
      <c r="AT57" s="222"/>
      <c r="AW57" s="150" t="s">
        <v>251</v>
      </c>
      <c r="AX57" s="151">
        <v>34563.69</v>
      </c>
      <c r="AY57" s="239"/>
      <c r="AZ57" s="78"/>
      <c r="BA57" s="78"/>
      <c r="BB57" s="145" t="s">
        <v>254</v>
      </c>
      <c r="BC57" s="146">
        <v>3912.04</v>
      </c>
      <c r="BD57" s="186"/>
      <c r="BE57" s="146">
        <v>3912.04</v>
      </c>
      <c r="BF57" s="189">
        <f t="shared" si="1"/>
        <v>0</v>
      </c>
      <c r="BG57" s="218"/>
      <c r="BH57" s="189"/>
      <c r="BI57" s="145" t="s">
        <v>254</v>
      </c>
      <c r="BJ57" s="146">
        <v>3970.68</v>
      </c>
      <c r="BK57" s="150" t="s">
        <v>254</v>
      </c>
      <c r="BL57" s="151">
        <f t="shared" si="4"/>
        <v>0</v>
      </c>
      <c r="BR57" s="145" t="s">
        <v>254</v>
      </c>
      <c r="BS57" s="146">
        <v>3970.68</v>
      </c>
      <c r="CA57" s="145" t="s">
        <v>254</v>
      </c>
      <c r="CB57" s="146">
        <v>-29.32</v>
      </c>
    </row>
    <row r="58" spans="1:80" ht="22.5">
      <c r="A58" s="7">
        <f>A57+1</f>
        <v>51</v>
      </c>
      <c r="B58" s="3" t="s">
        <v>151</v>
      </c>
      <c r="C58" s="169"/>
      <c r="D58" s="114">
        <v>8000</v>
      </c>
      <c r="E58" s="169"/>
      <c r="F58" s="114">
        <v>8000</v>
      </c>
      <c r="G58" s="114"/>
      <c r="H58" s="114">
        <v>3000</v>
      </c>
      <c r="I58" s="166"/>
      <c r="J58" s="125">
        <f>AK48</f>
        <v>2094.59</v>
      </c>
      <c r="K58" s="166"/>
      <c r="L58" s="199">
        <v>8500</v>
      </c>
      <c r="M58" s="204"/>
      <c r="N58" s="125">
        <f>AO48</f>
        <v>8513.36</v>
      </c>
      <c r="O58" s="3"/>
      <c r="P58" s="125">
        <f>AS48</f>
        <v>7246.04</v>
      </c>
      <c r="Q58" s="125"/>
      <c r="R58" s="125">
        <v>7795.05</v>
      </c>
      <c r="S58" s="125"/>
      <c r="T58" s="114">
        <v>8747.21</v>
      </c>
      <c r="U58" s="112"/>
      <c r="V58" s="114">
        <v>9084.49</v>
      </c>
      <c r="W58" s="112"/>
      <c r="X58" s="114">
        <v>9826.44</v>
      </c>
      <c r="Y58" s="112"/>
      <c r="AB58" s="7">
        <f t="shared" si="5"/>
        <v>0</v>
      </c>
      <c r="AG58" s="235"/>
      <c r="AH58" s="236"/>
      <c r="AI58" s="145"/>
      <c r="AJ58" s="145" t="s">
        <v>255</v>
      </c>
      <c r="AK58" s="146">
        <v>0</v>
      </c>
      <c r="AL58" s="189"/>
      <c r="AM58" s="189"/>
      <c r="AN58" s="145" t="s">
        <v>255</v>
      </c>
      <c r="AO58" s="146">
        <v>1107.3</v>
      </c>
      <c r="AR58" s="150" t="s">
        <v>255</v>
      </c>
      <c r="AS58" s="151">
        <f t="shared" si="3"/>
        <v>1287.3</v>
      </c>
      <c r="AT58" s="222"/>
      <c r="AW58" s="150" t="s">
        <v>252</v>
      </c>
      <c r="AX58" s="151">
        <v>33</v>
      </c>
      <c r="AY58" s="239"/>
      <c r="AZ58" s="78"/>
      <c r="BA58" s="78"/>
      <c r="BB58" s="145" t="s">
        <v>255</v>
      </c>
      <c r="BC58" s="146">
        <v>1287.3</v>
      </c>
      <c r="BD58" s="186"/>
      <c r="BE58" s="146">
        <v>1287.3</v>
      </c>
      <c r="BF58" s="189">
        <f t="shared" si="1"/>
        <v>0</v>
      </c>
      <c r="BG58" s="218"/>
      <c r="BH58" s="189"/>
      <c r="BI58" s="145" t="s">
        <v>255</v>
      </c>
      <c r="BJ58" s="146">
        <v>1107.3</v>
      </c>
      <c r="BK58" s="150" t="s">
        <v>255</v>
      </c>
      <c r="BL58" s="151">
        <f t="shared" si="4"/>
        <v>0</v>
      </c>
      <c r="BR58" s="145" t="s">
        <v>255</v>
      </c>
      <c r="BS58" s="146">
        <v>1107.3</v>
      </c>
      <c r="CA58" s="145" t="s">
        <v>255</v>
      </c>
      <c r="CB58" s="146">
        <v>0</v>
      </c>
    </row>
    <row r="59" spans="1:80" ht="22.5">
      <c r="A59" s="7">
        <f>A58+1</f>
        <v>52</v>
      </c>
      <c r="B59" s="3" t="s">
        <v>0</v>
      </c>
      <c r="C59" s="166"/>
      <c r="D59" s="114">
        <v>1000</v>
      </c>
      <c r="E59" s="166"/>
      <c r="F59" s="114">
        <v>1000</v>
      </c>
      <c r="G59" s="114"/>
      <c r="H59" s="114">
        <v>0</v>
      </c>
      <c r="I59" s="166"/>
      <c r="J59" s="116">
        <f>AK44</f>
        <v>0</v>
      </c>
      <c r="K59" s="166"/>
      <c r="L59" s="199">
        <v>1000</v>
      </c>
      <c r="M59" s="204"/>
      <c r="N59" s="116">
        <f>AO44</f>
        <v>17751.89</v>
      </c>
      <c r="O59" s="3"/>
      <c r="P59" s="116">
        <f>AS44</f>
        <v>72.03</v>
      </c>
      <c r="Q59" s="116"/>
      <c r="R59" s="116">
        <v>151.71</v>
      </c>
      <c r="S59" s="116"/>
      <c r="T59" s="114"/>
      <c r="U59" s="112"/>
      <c r="V59" s="114">
        <v>3931.21</v>
      </c>
      <c r="W59" s="112"/>
      <c r="X59" s="114">
        <v>209.58</v>
      </c>
      <c r="Y59" s="112"/>
      <c r="AB59" s="7">
        <f t="shared" si="5"/>
        <v>0</v>
      </c>
      <c r="AG59" s="235"/>
      <c r="AH59" s="236"/>
      <c r="AI59" s="145"/>
      <c r="AJ59" s="145" t="s">
        <v>256</v>
      </c>
      <c r="AK59" s="146">
        <v>-60</v>
      </c>
      <c r="AL59" s="189"/>
      <c r="AM59" s="189"/>
      <c r="AN59" s="145" t="s">
        <v>256</v>
      </c>
      <c r="AO59" s="146">
        <v>7252.87</v>
      </c>
      <c r="AR59" s="150" t="s">
        <v>256</v>
      </c>
      <c r="AS59" s="151">
        <f t="shared" si="3"/>
        <v>9749.79</v>
      </c>
      <c r="AT59" s="222"/>
      <c r="AW59" s="150" t="s">
        <v>253</v>
      </c>
      <c r="AX59" s="151">
        <v>57000</v>
      </c>
      <c r="AY59" s="239"/>
      <c r="AZ59" s="78"/>
      <c r="BA59" s="78"/>
      <c r="BB59" s="145" t="s">
        <v>256</v>
      </c>
      <c r="BC59" s="146">
        <v>9749.79</v>
      </c>
      <c r="BD59" s="186"/>
      <c r="BE59" s="146">
        <v>9749.79</v>
      </c>
      <c r="BF59" s="189">
        <f t="shared" si="1"/>
        <v>0</v>
      </c>
      <c r="BG59" s="218"/>
      <c r="BH59" s="189"/>
      <c r="BI59" s="145" t="s">
        <v>256</v>
      </c>
      <c r="BJ59" s="146">
        <v>7233.65</v>
      </c>
      <c r="BK59" s="150" t="s">
        <v>256</v>
      </c>
      <c r="BL59" s="151">
        <f t="shared" si="4"/>
        <v>0</v>
      </c>
      <c r="BR59" s="145" t="s">
        <v>256</v>
      </c>
      <c r="BS59" s="146">
        <v>7233.65</v>
      </c>
      <c r="CA59" s="145" t="s">
        <v>256</v>
      </c>
      <c r="CB59" s="146">
        <v>-60</v>
      </c>
    </row>
    <row r="60" spans="1:80" ht="22.5">
      <c r="A60" s="7">
        <f t="shared" si="2"/>
        <v>53</v>
      </c>
      <c r="B60" s="3" t="s">
        <v>104</v>
      </c>
      <c r="C60" s="166"/>
      <c r="D60" s="114">
        <v>500</v>
      </c>
      <c r="E60" s="166"/>
      <c r="F60" s="114">
        <v>500</v>
      </c>
      <c r="G60" s="114"/>
      <c r="H60" s="114">
        <v>500</v>
      </c>
      <c r="I60" s="166"/>
      <c r="J60" s="116"/>
      <c r="K60" s="166"/>
      <c r="L60" s="199">
        <v>500</v>
      </c>
      <c r="M60" s="204"/>
      <c r="N60" s="116"/>
      <c r="O60" s="3"/>
      <c r="P60" s="116"/>
      <c r="Q60" s="116"/>
      <c r="R60" s="116"/>
      <c r="S60" s="116"/>
      <c r="T60" s="114"/>
      <c r="U60" s="112"/>
      <c r="V60" s="114"/>
      <c r="W60" s="112"/>
      <c r="X60" s="114"/>
      <c r="Y60" s="112"/>
      <c r="AB60" s="7">
        <f t="shared" si="5"/>
        <v>0</v>
      </c>
      <c r="AG60" s="235"/>
      <c r="AH60" s="236"/>
      <c r="AI60" s="145"/>
      <c r="AJ60" s="145" t="s">
        <v>257</v>
      </c>
      <c r="AK60" s="146">
        <v>29558.87</v>
      </c>
      <c r="AL60" s="189"/>
      <c r="AM60" s="189"/>
      <c r="AN60" s="145" t="s">
        <v>257</v>
      </c>
      <c r="AO60" s="146">
        <v>31890.04</v>
      </c>
      <c r="AR60" s="150" t="s">
        <v>257</v>
      </c>
      <c r="AS60" s="151">
        <f t="shared" si="3"/>
        <v>44260.34</v>
      </c>
      <c r="AT60" s="222"/>
      <c r="AW60" s="150" t="s">
        <v>254</v>
      </c>
      <c r="AX60" s="151">
        <v>3912.04</v>
      </c>
      <c r="AY60" s="239"/>
      <c r="AZ60" s="78"/>
      <c r="BA60" s="78"/>
      <c r="BB60" s="145" t="s">
        <v>257</v>
      </c>
      <c r="BC60" s="146">
        <v>44260.34</v>
      </c>
      <c r="BD60" s="186"/>
      <c r="BE60" s="146">
        <v>44260.34</v>
      </c>
      <c r="BF60" s="189">
        <f t="shared" si="1"/>
        <v>0</v>
      </c>
      <c r="BG60" s="218"/>
      <c r="BH60" s="189"/>
      <c r="BI60" s="145" t="s">
        <v>257</v>
      </c>
      <c r="BJ60" s="146">
        <v>63499.96</v>
      </c>
      <c r="BK60" s="150" t="s">
        <v>257</v>
      </c>
      <c r="BL60" s="151">
        <f t="shared" si="4"/>
        <v>0</v>
      </c>
      <c r="BR60" s="145" t="s">
        <v>257</v>
      </c>
      <c r="BS60" s="146">
        <v>63499.96</v>
      </c>
      <c r="CA60" s="145" t="s">
        <v>257</v>
      </c>
      <c r="CB60" s="146">
        <v>29558.87</v>
      </c>
    </row>
    <row r="61" spans="1:80" ht="22.5">
      <c r="A61" s="7">
        <f t="shared" si="2"/>
        <v>54</v>
      </c>
      <c r="B61" s="3" t="s">
        <v>1</v>
      </c>
      <c r="C61" s="166"/>
      <c r="D61" s="114">
        <v>3000</v>
      </c>
      <c r="E61" s="166"/>
      <c r="F61" s="114">
        <v>3000</v>
      </c>
      <c r="G61" s="114"/>
      <c r="H61" s="114">
        <v>6000</v>
      </c>
      <c r="I61" s="166"/>
      <c r="J61" s="116">
        <f>AK45</f>
        <v>4000</v>
      </c>
      <c r="K61" s="166"/>
      <c r="L61" s="199">
        <v>4000</v>
      </c>
      <c r="M61" s="204"/>
      <c r="N61" s="116">
        <f>AO45</f>
        <v>3000</v>
      </c>
      <c r="O61" s="3"/>
      <c r="P61" s="116">
        <f>AS45</f>
        <v>1000</v>
      </c>
      <c r="Q61" s="116"/>
      <c r="R61" s="116">
        <v>2000</v>
      </c>
      <c r="S61" s="116"/>
      <c r="T61" s="114">
        <v>5500</v>
      </c>
      <c r="U61" s="112"/>
      <c r="V61" s="114">
        <v>4000</v>
      </c>
      <c r="W61" s="112"/>
      <c r="X61" s="114"/>
      <c r="Y61" s="112"/>
      <c r="AB61" s="7">
        <f t="shared" si="5"/>
        <v>0</v>
      </c>
      <c r="AG61" s="235"/>
      <c r="AH61" s="236"/>
      <c r="AI61" s="145"/>
      <c r="AJ61" s="145" t="s">
        <v>258</v>
      </c>
      <c r="AK61" s="146"/>
      <c r="AL61" s="189"/>
      <c r="AM61" s="189"/>
      <c r="AN61" s="145" t="s">
        <v>258</v>
      </c>
      <c r="AO61" s="146"/>
      <c r="AR61" s="150" t="s">
        <v>258</v>
      </c>
      <c r="AS61" s="151">
        <f t="shared" si="3"/>
        <v>0</v>
      </c>
      <c r="AT61" s="222"/>
      <c r="AW61" s="150" t="s">
        <v>255</v>
      </c>
      <c r="AX61" s="151">
        <v>1287.3</v>
      </c>
      <c r="AY61" s="239"/>
      <c r="AZ61" s="78"/>
      <c r="BA61" s="78"/>
      <c r="BB61" s="145" t="s">
        <v>258</v>
      </c>
      <c r="BC61" s="146"/>
      <c r="BD61" s="186"/>
      <c r="BE61" s="146"/>
      <c r="BF61" s="189">
        <f t="shared" si="1"/>
        <v>0</v>
      </c>
      <c r="BG61" s="218"/>
      <c r="BH61" s="189"/>
      <c r="BI61" s="145" t="s">
        <v>258</v>
      </c>
      <c r="BJ61" s="146"/>
      <c r="BK61" s="150" t="s">
        <v>258</v>
      </c>
      <c r="BL61" s="151">
        <f t="shared" si="4"/>
        <v>0</v>
      </c>
      <c r="BR61" s="145" t="s">
        <v>258</v>
      </c>
      <c r="BS61" s="146"/>
      <c r="CA61" s="145" t="s">
        <v>258</v>
      </c>
      <c r="CB61" s="146"/>
    </row>
    <row r="62" spans="1:80" ht="22.5">
      <c r="A62" s="7">
        <f t="shared" si="2"/>
        <v>55</v>
      </c>
      <c r="B62" s="3" t="s">
        <v>2</v>
      </c>
      <c r="C62" s="166"/>
      <c r="D62" s="114">
        <v>3750</v>
      </c>
      <c r="E62" s="166"/>
      <c r="F62" s="114">
        <v>3750</v>
      </c>
      <c r="G62" s="114"/>
      <c r="H62" s="114">
        <v>2750</v>
      </c>
      <c r="I62" s="166"/>
      <c r="J62" s="116">
        <f>AK46</f>
        <v>1857.29</v>
      </c>
      <c r="K62" s="166"/>
      <c r="L62" s="199">
        <v>4000</v>
      </c>
      <c r="M62" s="204"/>
      <c r="N62" s="116">
        <f>AO46</f>
        <v>5053.15</v>
      </c>
      <c r="O62" s="3"/>
      <c r="P62" s="116">
        <f>AS46</f>
        <v>3375.92</v>
      </c>
      <c r="Q62" s="116"/>
      <c r="R62" s="116">
        <v>4853.11</v>
      </c>
      <c r="S62" s="116"/>
      <c r="T62" s="114">
        <v>3729.51</v>
      </c>
      <c r="U62" s="112"/>
      <c r="V62" s="114">
        <v>6460.29</v>
      </c>
      <c r="W62" s="112"/>
      <c r="X62" s="114">
        <v>1979.85</v>
      </c>
      <c r="Y62" s="112"/>
      <c r="AB62" s="7">
        <f t="shared" si="5"/>
        <v>0</v>
      </c>
      <c r="AG62" s="235"/>
      <c r="AH62" s="236"/>
      <c r="AI62" s="145"/>
      <c r="AJ62" s="145" t="s">
        <v>259</v>
      </c>
      <c r="AK62" s="157">
        <v>37986.48</v>
      </c>
      <c r="AL62" s="189"/>
      <c r="AM62" s="189"/>
      <c r="AN62" s="145" t="s">
        <v>259</v>
      </c>
      <c r="AO62" s="157">
        <v>35000.37</v>
      </c>
      <c r="AR62" s="150" t="s">
        <v>259</v>
      </c>
      <c r="AS62" s="151">
        <f t="shared" si="3"/>
        <v>26670.88</v>
      </c>
      <c r="AT62" s="222"/>
      <c r="AW62" s="150" t="s">
        <v>256</v>
      </c>
      <c r="AX62" s="151">
        <v>9749.79</v>
      </c>
      <c r="AY62" s="239"/>
      <c r="AZ62" s="78"/>
      <c r="BA62" s="78"/>
      <c r="BB62" s="145" t="s">
        <v>259</v>
      </c>
      <c r="BC62" s="157">
        <v>26670.88</v>
      </c>
      <c r="BD62" s="186"/>
      <c r="BE62" s="157">
        <v>26670.88</v>
      </c>
      <c r="BF62" s="189">
        <f t="shared" si="1"/>
        <v>0</v>
      </c>
      <c r="BG62" s="218"/>
      <c r="BH62" s="189"/>
      <c r="BI62" s="145" t="s">
        <v>259</v>
      </c>
      <c r="BJ62" s="157">
        <v>35000.37</v>
      </c>
      <c r="BK62" s="150" t="s">
        <v>259</v>
      </c>
      <c r="BL62" s="151">
        <f t="shared" si="4"/>
        <v>0</v>
      </c>
      <c r="BR62" s="145" t="s">
        <v>259</v>
      </c>
      <c r="BS62" s="157">
        <v>35000.37</v>
      </c>
      <c r="CA62" s="145" t="s">
        <v>259</v>
      </c>
      <c r="CB62" s="157">
        <v>37986.48</v>
      </c>
    </row>
    <row r="63" spans="1:80" ht="22.5">
      <c r="A63" s="7">
        <f t="shared" si="2"/>
        <v>56</v>
      </c>
      <c r="B63" s="3" t="s">
        <v>46</v>
      </c>
      <c r="C63" s="166"/>
      <c r="D63" s="114">
        <v>2500</v>
      </c>
      <c r="E63" s="166"/>
      <c r="F63" s="114">
        <v>2500</v>
      </c>
      <c r="G63" s="114"/>
      <c r="H63" s="114">
        <v>1000</v>
      </c>
      <c r="I63" s="166"/>
      <c r="J63" s="116">
        <f>AK47</f>
        <v>672.32</v>
      </c>
      <c r="K63" s="166"/>
      <c r="L63" s="199">
        <v>2000</v>
      </c>
      <c r="M63" s="204"/>
      <c r="N63" s="116">
        <f>AO47</f>
        <v>1012.13</v>
      </c>
      <c r="O63" s="3"/>
      <c r="P63" s="116">
        <f>AS47</f>
        <v>3220.12</v>
      </c>
      <c r="Q63" s="116"/>
      <c r="R63" s="116">
        <v>1457.55</v>
      </c>
      <c r="S63" s="116"/>
      <c r="T63" s="114">
        <v>2640.13</v>
      </c>
      <c r="U63" s="112"/>
      <c r="V63" s="114">
        <v>3463.63</v>
      </c>
      <c r="W63" s="112"/>
      <c r="X63" s="114">
        <v>3306.87</v>
      </c>
      <c r="Y63" s="112"/>
      <c r="AB63" s="7">
        <f t="shared" si="5"/>
        <v>0</v>
      </c>
      <c r="AG63" s="235"/>
      <c r="AH63" s="236"/>
      <c r="AI63" s="145"/>
      <c r="AJ63" s="145" t="s">
        <v>260</v>
      </c>
      <c r="AK63" s="157">
        <v>-8427.61</v>
      </c>
      <c r="AL63" s="189"/>
      <c r="AM63" s="189"/>
      <c r="AN63" s="145" t="s">
        <v>260</v>
      </c>
      <c r="AO63" s="157">
        <v>-3110.33</v>
      </c>
      <c r="AR63" s="150" t="s">
        <v>260</v>
      </c>
      <c r="AS63" s="151">
        <f t="shared" si="3"/>
        <v>17589.46</v>
      </c>
      <c r="AT63" s="185">
        <f>AS60-AS62</f>
        <v>17589.459999999995</v>
      </c>
      <c r="AW63" s="150" t="s">
        <v>257</v>
      </c>
      <c r="AX63" s="151">
        <v>44260.34</v>
      </c>
      <c r="AY63" s="239"/>
      <c r="AZ63" s="78"/>
      <c r="BA63" s="78"/>
      <c r="BB63" s="145" t="s">
        <v>260</v>
      </c>
      <c r="BC63" s="157">
        <v>17589.46</v>
      </c>
      <c r="BD63" s="186"/>
      <c r="BE63" s="157">
        <v>17589.46</v>
      </c>
      <c r="BF63" s="189">
        <f t="shared" si="1"/>
        <v>0</v>
      </c>
      <c r="BG63" s="218"/>
      <c r="BH63" s="189"/>
      <c r="BI63" s="145" t="s">
        <v>260</v>
      </c>
      <c r="BJ63" s="157">
        <v>28499.59</v>
      </c>
      <c r="BK63" s="150" t="s">
        <v>260</v>
      </c>
      <c r="BL63" s="151">
        <f t="shared" si="4"/>
        <v>0</v>
      </c>
      <c r="BR63" s="145" t="s">
        <v>260</v>
      </c>
      <c r="BS63" s="157">
        <v>28499.59</v>
      </c>
      <c r="CA63" s="145" t="s">
        <v>260</v>
      </c>
      <c r="CB63" s="157">
        <v>-8427.61</v>
      </c>
    </row>
    <row r="64" spans="1:80" ht="22.5">
      <c r="A64" s="7">
        <f t="shared" si="2"/>
        <v>57</v>
      </c>
      <c r="B64" s="3" t="s">
        <v>194</v>
      </c>
      <c r="C64" s="166"/>
      <c r="D64" s="114">
        <v>8500</v>
      </c>
      <c r="E64" s="166"/>
      <c r="F64" s="114">
        <v>8500</v>
      </c>
      <c r="G64" s="114"/>
      <c r="H64" s="281">
        <v>26000</v>
      </c>
      <c r="I64" s="282"/>
      <c r="J64" s="283">
        <f>AK138+AK140</f>
        <v>22447.28</v>
      </c>
      <c r="K64" s="166"/>
      <c r="L64" s="199">
        <v>7000</v>
      </c>
      <c r="M64" s="204"/>
      <c r="N64" s="116">
        <f>AO138+AO140</f>
        <v>5797.54</v>
      </c>
      <c r="O64" s="3"/>
      <c r="P64" s="116">
        <f>AS138+AS140</f>
        <v>11396.13</v>
      </c>
      <c r="Q64" s="116"/>
      <c r="R64" s="116">
        <v>5240.43</v>
      </c>
      <c r="S64" s="116"/>
      <c r="T64" s="114">
        <f>8896.88+6151.05</f>
        <v>15047.93</v>
      </c>
      <c r="U64" s="112"/>
      <c r="V64" s="114">
        <f>21570.09+4156.01</f>
        <v>25726.1</v>
      </c>
      <c r="W64" s="112"/>
      <c r="X64" s="114">
        <v>15816.07</v>
      </c>
      <c r="Y64" s="112"/>
      <c r="AB64" s="7">
        <f t="shared" si="5"/>
        <v>0</v>
      </c>
      <c r="AG64" s="235"/>
      <c r="AH64" s="236"/>
      <c r="AI64" s="145"/>
      <c r="AJ64" s="7"/>
      <c r="AK64" s="146">
        <v>98075.99</v>
      </c>
      <c r="AL64" s="189">
        <f>SUM(AK33:AK60)-AK62</f>
        <v>98075.98999999996</v>
      </c>
      <c r="AM64" s="189"/>
      <c r="AO64" s="146">
        <v>235295.99</v>
      </c>
      <c r="AR64" s="150" t="s">
        <v>216</v>
      </c>
      <c r="AS64" s="153"/>
      <c r="AT64" s="222"/>
      <c r="AW64" s="150" t="s">
        <v>258</v>
      </c>
      <c r="AX64" s="151"/>
      <c r="AY64" s="239"/>
      <c r="AZ64" s="78"/>
      <c r="BA64" s="78"/>
      <c r="BB64" s="145" t="s">
        <v>261</v>
      </c>
      <c r="BC64" s="146">
        <v>276177.15</v>
      </c>
      <c r="BD64" s="186"/>
      <c r="BE64" s="146">
        <v>276177.15</v>
      </c>
      <c r="BF64" s="189">
        <f t="shared" si="1"/>
        <v>0</v>
      </c>
      <c r="BG64" s="218"/>
      <c r="BH64" s="189"/>
      <c r="BI64" s="145" t="s">
        <v>261</v>
      </c>
      <c r="BJ64" s="146">
        <v>266851.05</v>
      </c>
      <c r="BK64" s="150" t="s">
        <v>216</v>
      </c>
      <c r="BL64" s="153"/>
      <c r="BR64" s="145" t="s">
        <v>261</v>
      </c>
      <c r="BS64" s="146">
        <v>266851.05</v>
      </c>
      <c r="CA64" s="145" t="s">
        <v>261</v>
      </c>
      <c r="CB64" s="146">
        <v>98075.99</v>
      </c>
    </row>
    <row r="65" spans="1:80" ht="22.5">
      <c r="A65" s="7">
        <f t="shared" si="2"/>
        <v>58</v>
      </c>
      <c r="B65" s="3" t="s">
        <v>92</v>
      </c>
      <c r="C65" s="166"/>
      <c r="D65" s="114">
        <f>262446</f>
        <v>262446</v>
      </c>
      <c r="E65" s="166"/>
      <c r="F65" s="114">
        <v>272741</v>
      </c>
      <c r="G65" s="114"/>
      <c r="H65" s="114">
        <v>272741</v>
      </c>
      <c r="I65" s="166"/>
      <c r="J65" s="114">
        <f>AK136</f>
        <v>0</v>
      </c>
      <c r="K65" s="166"/>
      <c r="L65" s="199">
        <f>283906</f>
        <v>283906</v>
      </c>
      <c r="M65" s="204"/>
      <c r="N65" s="114">
        <f>AO136</f>
        <v>283906</v>
      </c>
      <c r="O65" s="3"/>
      <c r="P65" s="114">
        <f>AS136</f>
        <v>0</v>
      </c>
      <c r="Q65" s="116"/>
      <c r="R65" s="116">
        <v>0</v>
      </c>
      <c r="S65" s="116"/>
      <c r="T65" s="114">
        <v>276232</v>
      </c>
      <c r="U65" s="112"/>
      <c r="V65" s="114">
        <v>283074.62</v>
      </c>
      <c r="W65" s="112"/>
      <c r="X65" s="115">
        <v>283940</v>
      </c>
      <c r="Y65" s="112"/>
      <c r="AB65" s="7">
        <f t="shared" si="5"/>
        <v>-10295</v>
      </c>
      <c r="AG65" s="235"/>
      <c r="AH65" s="236"/>
      <c r="AI65" s="145"/>
      <c r="AJ65" s="145" t="s">
        <v>261</v>
      </c>
      <c r="AK65" s="146"/>
      <c r="AL65" s="189"/>
      <c r="AM65" s="189"/>
      <c r="AN65" s="145" t="s">
        <v>261</v>
      </c>
      <c r="AO65" s="146"/>
      <c r="AR65" s="150" t="s">
        <v>261</v>
      </c>
      <c r="AS65" s="151">
        <f>BC64</f>
        <v>276177.15</v>
      </c>
      <c r="AT65" s="185">
        <f>SUM(AS33:AS59)+AT63</f>
        <v>276177.15</v>
      </c>
      <c r="AW65" s="150" t="s">
        <v>259</v>
      </c>
      <c r="AX65" s="153">
        <v>26670.88</v>
      </c>
      <c r="AY65" s="239"/>
      <c r="AZ65" s="78"/>
      <c r="BA65" s="78"/>
      <c r="BB65" s="145" t="s">
        <v>216</v>
      </c>
      <c r="BC65" s="146"/>
      <c r="BD65" s="186"/>
      <c r="BE65" s="146"/>
      <c r="BF65" s="189">
        <f t="shared" si="1"/>
        <v>0</v>
      </c>
      <c r="BG65" s="218"/>
      <c r="BH65" s="189"/>
      <c r="BI65" s="145" t="s">
        <v>216</v>
      </c>
      <c r="BJ65" s="146"/>
      <c r="BK65" s="150" t="s">
        <v>261</v>
      </c>
      <c r="BL65" s="151">
        <f>BV64</f>
        <v>0</v>
      </c>
      <c r="BR65" s="145" t="s">
        <v>216</v>
      </c>
      <c r="BS65" s="146"/>
      <c r="CA65" s="145" t="s">
        <v>216</v>
      </c>
      <c r="CB65" s="146"/>
    </row>
    <row r="66" spans="1:80" ht="22.5">
      <c r="A66" s="7">
        <f t="shared" si="2"/>
        <v>59</v>
      </c>
      <c r="B66" s="3" t="s">
        <v>91</v>
      </c>
      <c r="C66" s="166"/>
      <c r="D66" s="114">
        <f>262446</f>
        <v>262446</v>
      </c>
      <c r="E66" s="166"/>
      <c r="F66" s="114">
        <v>272741</v>
      </c>
      <c r="G66" s="114"/>
      <c r="H66" s="114">
        <v>272741</v>
      </c>
      <c r="I66" s="166"/>
      <c r="J66" s="114">
        <f>AK137</f>
        <v>0</v>
      </c>
      <c r="K66" s="166"/>
      <c r="L66" s="199">
        <f>283906</f>
        <v>283906</v>
      </c>
      <c r="M66" s="204"/>
      <c r="N66" s="114">
        <f>AO137</f>
        <v>283906</v>
      </c>
      <c r="O66" s="3"/>
      <c r="P66" s="114">
        <f>AS137</f>
        <v>283190</v>
      </c>
      <c r="Q66" s="116"/>
      <c r="R66" s="116">
        <v>273820</v>
      </c>
      <c r="S66" s="116"/>
      <c r="T66" s="114">
        <v>276232</v>
      </c>
      <c r="U66" s="112"/>
      <c r="V66" s="114">
        <v>283074.62</v>
      </c>
      <c r="W66" s="112"/>
      <c r="X66" s="115">
        <v>283940</v>
      </c>
      <c r="Y66" s="112"/>
      <c r="AB66" s="7">
        <f t="shared" si="5"/>
        <v>-10295</v>
      </c>
      <c r="AG66" s="235"/>
      <c r="AH66" s="236"/>
      <c r="AI66" s="145"/>
      <c r="AJ66" s="7"/>
      <c r="AK66" s="146"/>
      <c r="AL66" s="189"/>
      <c r="AM66" s="189"/>
      <c r="AO66" s="146"/>
      <c r="AT66" s="222"/>
      <c r="AY66" s="239"/>
      <c r="AZ66" s="78"/>
      <c r="BA66" s="78"/>
      <c r="BB66" s="145" t="s">
        <v>216</v>
      </c>
      <c r="BC66" s="146"/>
      <c r="BD66" s="186"/>
      <c r="BE66" s="146"/>
      <c r="BF66" s="189">
        <f t="shared" si="1"/>
        <v>0</v>
      </c>
      <c r="BG66" s="218"/>
      <c r="BH66" s="189"/>
      <c r="BI66" s="145" t="s">
        <v>216</v>
      </c>
      <c r="BJ66" s="146"/>
      <c r="BK66" s="114"/>
      <c r="BL66" s="114"/>
      <c r="BR66" s="145" t="s">
        <v>216</v>
      </c>
      <c r="BS66" s="146"/>
      <c r="CA66" s="145" t="s">
        <v>216</v>
      </c>
      <c r="CB66" s="146"/>
    </row>
    <row r="67" spans="1:80" ht="22.5">
      <c r="A67" s="7">
        <f t="shared" si="2"/>
        <v>60</v>
      </c>
      <c r="B67" s="3" t="s">
        <v>90</v>
      </c>
      <c r="C67" s="166"/>
      <c r="D67" s="114">
        <f>-262446+50000</f>
        <v>-212446</v>
      </c>
      <c r="E67" s="166"/>
      <c r="F67" s="114">
        <f>-272741+50000</f>
        <v>-222741</v>
      </c>
      <c r="G67" s="114"/>
      <c r="H67" s="114">
        <f>-272741+50000</f>
        <v>-222741</v>
      </c>
      <c r="I67" s="166"/>
      <c r="J67" s="114">
        <f>-AK204</f>
        <v>0</v>
      </c>
      <c r="K67" s="166"/>
      <c r="L67" s="199">
        <f>-233906</f>
        <v>-233906</v>
      </c>
      <c r="M67" s="204"/>
      <c r="N67" s="114">
        <f>-AO204</f>
        <v>-233906</v>
      </c>
      <c r="O67" s="3"/>
      <c r="P67" s="114">
        <f>-AS204</f>
        <v>-233190</v>
      </c>
      <c r="Q67" s="116"/>
      <c r="R67" s="116">
        <v>-223820</v>
      </c>
      <c r="S67" s="116"/>
      <c r="T67" s="114">
        <f>-226232</f>
        <v>-226232</v>
      </c>
      <c r="U67" s="112"/>
      <c r="V67" s="114">
        <f>-283074.62+50000</f>
        <v>-233074.62</v>
      </c>
      <c r="W67" s="112"/>
      <c r="X67" s="114">
        <v>-223940</v>
      </c>
      <c r="Y67" s="112"/>
      <c r="AB67" s="7">
        <f t="shared" si="5"/>
        <v>10295</v>
      </c>
      <c r="AG67" s="235"/>
      <c r="AH67" s="236"/>
      <c r="AI67" s="145"/>
      <c r="AJ67" s="7"/>
      <c r="AK67" s="146"/>
      <c r="AL67" s="189"/>
      <c r="AM67" s="189"/>
      <c r="AO67" s="146"/>
      <c r="AR67" s="150" t="s">
        <v>216</v>
      </c>
      <c r="AS67" s="151"/>
      <c r="AT67" s="185"/>
      <c r="AW67" s="150" t="s">
        <v>260</v>
      </c>
      <c r="AX67" s="153">
        <v>17589.46</v>
      </c>
      <c r="AY67" s="239"/>
      <c r="AZ67" s="78"/>
      <c r="BA67" s="78"/>
      <c r="BB67" s="145" t="s">
        <v>262</v>
      </c>
      <c r="BC67" s="146"/>
      <c r="BD67" s="186"/>
      <c r="BE67" s="146"/>
      <c r="BF67" s="189">
        <f t="shared" si="1"/>
        <v>0</v>
      </c>
      <c r="BG67" s="218"/>
      <c r="BH67" s="189"/>
      <c r="BI67" s="145" t="s">
        <v>262</v>
      </c>
      <c r="BJ67" s="146"/>
      <c r="BK67" s="150" t="s">
        <v>216</v>
      </c>
      <c r="BL67" s="151"/>
      <c r="BR67" s="145" t="s">
        <v>262</v>
      </c>
      <c r="BS67" s="146"/>
      <c r="CA67" s="145" t="s">
        <v>262</v>
      </c>
      <c r="CB67" s="146"/>
    </row>
    <row r="68" spans="1:80" ht="22.5">
      <c r="A68" s="7">
        <f t="shared" si="2"/>
        <v>61</v>
      </c>
      <c r="B68" s="11" t="s">
        <v>93</v>
      </c>
      <c r="C68" s="166"/>
      <c r="D68" s="114">
        <f>598750</f>
        <v>598750</v>
      </c>
      <c r="E68" s="166"/>
      <c r="F68" s="114">
        <v>599630</v>
      </c>
      <c r="G68" s="114"/>
      <c r="H68" s="114">
        <f>172991+35282*4-9374*4</f>
        <v>276623</v>
      </c>
      <c r="I68" s="173"/>
      <c r="J68" s="116">
        <f>AK146</f>
        <v>230162.58</v>
      </c>
      <c r="K68" s="173"/>
      <c r="L68" s="199">
        <v>584520</v>
      </c>
      <c r="M68" s="204"/>
      <c r="N68" s="116">
        <f>AO146</f>
        <v>338081.76</v>
      </c>
      <c r="O68" s="11"/>
      <c r="P68" s="116">
        <f>AS146</f>
        <v>371925.01</v>
      </c>
      <c r="Q68" s="116"/>
      <c r="R68" s="116">
        <v>447150.61</v>
      </c>
      <c r="S68" s="116"/>
      <c r="T68" s="114">
        <f>502672.69</f>
        <v>502672.69</v>
      </c>
      <c r="U68" s="112"/>
      <c r="V68" s="114">
        <v>434844.62</v>
      </c>
      <c r="W68" s="112"/>
      <c r="X68" s="114">
        <v>451389.95</v>
      </c>
      <c r="Y68" s="112"/>
      <c r="AB68" s="7">
        <f t="shared" si="5"/>
        <v>-880</v>
      </c>
      <c r="AG68" s="78"/>
      <c r="AH68" s="123"/>
      <c r="AI68" s="145"/>
      <c r="AJ68" s="150" t="s">
        <v>262</v>
      </c>
      <c r="AK68" s="146"/>
      <c r="AL68" s="189"/>
      <c r="AM68" s="189"/>
      <c r="AN68" s="150" t="s">
        <v>262</v>
      </c>
      <c r="AO68" s="146"/>
      <c r="AR68" s="150" t="s">
        <v>262</v>
      </c>
      <c r="AS68" s="151"/>
      <c r="AT68" s="222"/>
      <c r="AY68" s="239"/>
      <c r="AZ68" s="78"/>
      <c r="BA68" s="78"/>
      <c r="BB68" s="145" t="s">
        <v>216</v>
      </c>
      <c r="BC68" s="146"/>
      <c r="BD68" s="186"/>
      <c r="BE68" s="146"/>
      <c r="BF68" s="189">
        <f t="shared" si="1"/>
        <v>0</v>
      </c>
      <c r="BG68" s="218"/>
      <c r="BH68" s="189"/>
      <c r="BI68" s="145" t="s">
        <v>216</v>
      </c>
      <c r="BJ68" s="146"/>
      <c r="BK68" s="150" t="s">
        <v>262</v>
      </c>
      <c r="BL68" s="151"/>
      <c r="BR68" s="145" t="s">
        <v>216</v>
      </c>
      <c r="BS68" s="146"/>
      <c r="CA68" s="145" t="s">
        <v>216</v>
      </c>
      <c r="CB68" s="146"/>
    </row>
    <row r="69" spans="1:80" ht="22.5">
      <c r="A69" s="7">
        <f t="shared" si="2"/>
        <v>62</v>
      </c>
      <c r="B69" s="3" t="s">
        <v>122</v>
      </c>
      <c r="C69" s="166"/>
      <c r="D69" s="114">
        <f>-119093</f>
        <v>-119093</v>
      </c>
      <c r="E69" s="166"/>
      <c r="F69" s="114">
        <f>-113000</f>
        <v>-113000</v>
      </c>
      <c r="G69" s="114"/>
      <c r="H69" s="114"/>
      <c r="I69" s="166"/>
      <c r="J69" s="116"/>
      <c r="K69" s="166"/>
      <c r="L69" s="199">
        <f>-114400</f>
        <v>-114400</v>
      </c>
      <c r="M69" s="204"/>
      <c r="N69" s="116"/>
      <c r="O69" s="3"/>
      <c r="P69" s="116"/>
      <c r="Q69" s="116"/>
      <c r="R69" s="116"/>
      <c r="S69" s="116"/>
      <c r="T69" s="114"/>
      <c r="U69" s="112"/>
      <c r="V69" s="114"/>
      <c r="W69" s="112"/>
      <c r="X69" s="114"/>
      <c r="Y69" s="112"/>
      <c r="AB69" s="7">
        <f t="shared" si="5"/>
        <v>-6093</v>
      </c>
      <c r="AG69" s="235"/>
      <c r="AH69" s="236"/>
      <c r="AI69" s="156"/>
      <c r="AJ69" s="156" t="s">
        <v>216</v>
      </c>
      <c r="AK69" s="146"/>
      <c r="AL69" s="189"/>
      <c r="AM69" s="189"/>
      <c r="AN69" s="156" t="s">
        <v>216</v>
      </c>
      <c r="AO69" s="146"/>
      <c r="AR69" s="152" t="s">
        <v>216</v>
      </c>
      <c r="AS69" s="151"/>
      <c r="AT69" s="222"/>
      <c r="AW69" s="150" t="s">
        <v>261</v>
      </c>
      <c r="AX69" s="151">
        <v>276177.15</v>
      </c>
      <c r="AY69" s="239"/>
      <c r="AZ69" s="78"/>
      <c r="BA69" s="78"/>
      <c r="BB69" s="156" t="s">
        <v>216</v>
      </c>
      <c r="BC69" s="146"/>
      <c r="BD69" s="186"/>
      <c r="BE69" s="146"/>
      <c r="BF69" s="189">
        <f t="shared" si="1"/>
        <v>0</v>
      </c>
      <c r="BG69" s="218"/>
      <c r="BH69" s="189"/>
      <c r="BI69" s="156" t="s">
        <v>216</v>
      </c>
      <c r="BJ69" s="146"/>
      <c r="BK69" s="152" t="s">
        <v>216</v>
      </c>
      <c r="BL69" s="151"/>
      <c r="BR69" s="156" t="s">
        <v>216</v>
      </c>
      <c r="BS69" s="146"/>
      <c r="CA69" s="156" t="s">
        <v>216</v>
      </c>
      <c r="CB69" s="146"/>
    </row>
    <row r="70" spans="1:80" ht="22.5">
      <c r="A70" s="7">
        <f t="shared" si="2"/>
        <v>63</v>
      </c>
      <c r="B70" s="3" t="s">
        <v>30</v>
      </c>
      <c r="C70" s="173"/>
      <c r="D70" s="114">
        <v>2500</v>
      </c>
      <c r="E70" s="173"/>
      <c r="F70" s="114">
        <v>1000</v>
      </c>
      <c r="G70" s="114"/>
      <c r="H70" s="114">
        <v>1000</v>
      </c>
      <c r="I70" s="166"/>
      <c r="J70" s="116">
        <f>AK147</f>
        <v>0</v>
      </c>
      <c r="K70" s="166"/>
      <c r="L70" s="199">
        <v>4000</v>
      </c>
      <c r="M70" s="204"/>
      <c r="N70" s="116">
        <f>AO147</f>
        <v>0</v>
      </c>
      <c r="O70" s="3"/>
      <c r="P70" s="116">
        <f>AS147</f>
        <v>240</v>
      </c>
      <c r="Q70" s="116"/>
      <c r="R70" s="116">
        <v>735</v>
      </c>
      <c r="S70" s="116"/>
      <c r="T70" s="114">
        <v>1994.62</v>
      </c>
      <c r="U70" s="112"/>
      <c r="V70" s="114">
        <v>1425</v>
      </c>
      <c r="W70" s="112"/>
      <c r="X70" s="114">
        <v>1950</v>
      </c>
      <c r="Y70" s="112"/>
      <c r="AB70" s="7">
        <f t="shared" si="5"/>
        <v>1500</v>
      </c>
      <c r="AG70" s="235"/>
      <c r="AH70" s="236"/>
      <c r="AI70" s="145"/>
      <c r="AJ70" s="145" t="s">
        <v>6</v>
      </c>
      <c r="AK70" s="146">
        <v>236.86</v>
      </c>
      <c r="AL70" s="189"/>
      <c r="AM70" s="189"/>
      <c r="AN70" s="145" t="s">
        <v>6</v>
      </c>
      <c r="AO70" s="146">
        <v>378.34</v>
      </c>
      <c r="AR70" s="150" t="s">
        <v>6</v>
      </c>
      <c r="AS70" s="151">
        <f aca="true" t="shared" si="9" ref="AS70:AS80">BC70</f>
        <v>1486.17</v>
      </c>
      <c r="AT70" s="222"/>
      <c r="AY70" s="239"/>
      <c r="AZ70" s="78"/>
      <c r="BA70" s="78"/>
      <c r="BB70" s="145" t="s">
        <v>6</v>
      </c>
      <c r="BC70" s="146">
        <v>1486.17</v>
      </c>
      <c r="BD70" s="186"/>
      <c r="BE70" s="146">
        <v>1486.17</v>
      </c>
      <c r="BF70" s="189">
        <f t="shared" si="1"/>
        <v>0</v>
      </c>
      <c r="BG70" s="218"/>
      <c r="BH70" s="189"/>
      <c r="BI70" s="145" t="s">
        <v>6</v>
      </c>
      <c r="BJ70" s="146">
        <v>378.34</v>
      </c>
      <c r="BK70" s="150" t="s">
        <v>6</v>
      </c>
      <c r="BL70" s="151">
        <f aca="true" t="shared" si="10" ref="BL70:BL80">BV70</f>
        <v>0</v>
      </c>
      <c r="BR70" s="145" t="s">
        <v>6</v>
      </c>
      <c r="BS70" s="146">
        <v>378.34</v>
      </c>
      <c r="CA70" s="145" t="s">
        <v>6</v>
      </c>
      <c r="CB70" s="146">
        <v>236.86</v>
      </c>
    </row>
    <row r="71" spans="1:80" ht="22.5">
      <c r="A71" s="7">
        <f t="shared" si="2"/>
        <v>64</v>
      </c>
      <c r="B71" s="3" t="s">
        <v>123</v>
      </c>
      <c r="C71" s="166"/>
      <c r="D71" s="114">
        <f>-188751</f>
        <v>-188751</v>
      </c>
      <c r="E71" s="166"/>
      <c r="F71" s="114">
        <f>-200000</f>
        <v>-200000</v>
      </c>
      <c r="G71" s="114"/>
      <c r="H71" s="114">
        <f>-127059-14651*4</f>
        <v>-185663</v>
      </c>
      <c r="I71" s="166"/>
      <c r="J71" s="116">
        <f>-AK149</f>
        <v>-160089.18</v>
      </c>
      <c r="K71" s="166"/>
      <c r="L71" s="199">
        <f>-198288</f>
        <v>-198288</v>
      </c>
      <c r="M71" s="204"/>
      <c r="N71" s="116">
        <f>-AO149</f>
        <v>-196882.73</v>
      </c>
      <c r="O71" s="3"/>
      <c r="P71" s="116">
        <f>-AS149</f>
        <v>-197150.56</v>
      </c>
      <c r="Q71" s="116"/>
      <c r="R71" s="116">
        <v>-194901.2</v>
      </c>
      <c r="S71" s="116"/>
      <c r="T71" s="114">
        <f>-212048.14</f>
        <v>-212048.14</v>
      </c>
      <c r="U71" s="112"/>
      <c r="V71" s="114">
        <f>-182051.98</f>
        <v>-182051.98</v>
      </c>
      <c r="W71" s="112"/>
      <c r="X71" s="114">
        <f>-187282.73</f>
        <v>-187282.73</v>
      </c>
      <c r="Y71" s="112"/>
      <c r="AB71" s="7">
        <f t="shared" si="5"/>
        <v>11249</v>
      </c>
      <c r="AG71" s="235"/>
      <c r="AH71" s="236"/>
      <c r="AI71" s="145"/>
      <c r="AJ71" s="145" t="s">
        <v>7</v>
      </c>
      <c r="AK71" s="146">
        <v>5596.07</v>
      </c>
      <c r="AL71" s="189"/>
      <c r="AM71" s="189"/>
      <c r="AN71" s="145" t="s">
        <v>7</v>
      </c>
      <c r="AO71" s="146">
        <v>2101.94</v>
      </c>
      <c r="AR71" s="150" t="s">
        <v>7</v>
      </c>
      <c r="AS71" s="151">
        <f t="shared" si="9"/>
        <v>1130.58</v>
      </c>
      <c r="AT71" s="222"/>
      <c r="AY71" s="239"/>
      <c r="AZ71" s="78"/>
      <c r="BA71" s="78"/>
      <c r="BB71" s="145" t="s">
        <v>7</v>
      </c>
      <c r="BC71" s="146">
        <v>1130.58</v>
      </c>
      <c r="BD71" s="186"/>
      <c r="BE71" s="146">
        <v>1130.58</v>
      </c>
      <c r="BF71" s="189">
        <f t="shared" si="1"/>
        <v>0</v>
      </c>
      <c r="BG71" s="218"/>
      <c r="BH71" s="189"/>
      <c r="BI71" s="145" t="s">
        <v>7</v>
      </c>
      <c r="BJ71" s="146">
        <v>1868.08</v>
      </c>
      <c r="BK71" s="150" t="s">
        <v>7</v>
      </c>
      <c r="BL71" s="151">
        <f t="shared" si="10"/>
        <v>0</v>
      </c>
      <c r="BR71" s="145" t="s">
        <v>7</v>
      </c>
      <c r="BS71" s="146">
        <v>1868.08</v>
      </c>
      <c r="CA71" s="145" t="s">
        <v>7</v>
      </c>
      <c r="CB71" s="146">
        <v>5596.07</v>
      </c>
    </row>
    <row r="72" spans="1:80" ht="22.5">
      <c r="A72" s="7">
        <f t="shared" si="2"/>
        <v>65</v>
      </c>
      <c r="B72" s="3" t="s">
        <v>124</v>
      </c>
      <c r="C72" s="166"/>
      <c r="D72" s="114"/>
      <c r="E72" s="166"/>
      <c r="F72" s="114"/>
      <c r="G72" s="114"/>
      <c r="H72" s="114">
        <f>80789+11000*5</f>
        <v>135789</v>
      </c>
      <c r="I72" s="166"/>
      <c r="J72" s="116">
        <f>-AK150</f>
        <v>116220.89</v>
      </c>
      <c r="K72" s="166"/>
      <c r="L72" s="199">
        <v>0</v>
      </c>
      <c r="M72" s="204"/>
      <c r="N72" s="116">
        <f>-AO150</f>
        <v>147404.1</v>
      </c>
      <c r="O72" s="3"/>
      <c r="P72" s="116">
        <f>-AS150</f>
        <v>96299.57</v>
      </c>
      <c r="Q72" s="116"/>
      <c r="R72" s="116">
        <v>46069.44</v>
      </c>
      <c r="S72" s="116"/>
      <c r="T72" s="114">
        <v>2702.72</v>
      </c>
      <c r="U72" s="112"/>
      <c r="V72" s="114">
        <v>2305.68</v>
      </c>
      <c r="W72" s="112"/>
      <c r="X72" s="114">
        <v>2697.37</v>
      </c>
      <c r="Y72" s="112"/>
      <c r="AB72" s="7">
        <f aca="true" t="shared" si="11" ref="AB72:AB103">D72-F72</f>
        <v>0</v>
      </c>
      <c r="AG72" s="235"/>
      <c r="AH72" s="236"/>
      <c r="AI72" s="145"/>
      <c r="AJ72" s="145" t="s">
        <v>263</v>
      </c>
      <c r="AK72" s="146">
        <v>0</v>
      </c>
      <c r="AL72" s="189"/>
      <c r="AM72" s="189"/>
      <c r="AN72" s="145" t="s">
        <v>263</v>
      </c>
      <c r="AO72" s="146">
        <v>0</v>
      </c>
      <c r="AR72" s="150" t="s">
        <v>263</v>
      </c>
      <c r="AS72" s="151">
        <f t="shared" si="9"/>
        <v>0</v>
      </c>
      <c r="AT72" s="222"/>
      <c r="AW72" s="150" t="s">
        <v>262</v>
      </c>
      <c r="AX72" s="151"/>
      <c r="AY72" s="239"/>
      <c r="AZ72" s="78"/>
      <c r="BA72" s="78"/>
      <c r="BB72" s="145" t="s">
        <v>263</v>
      </c>
      <c r="BC72" s="146">
        <v>0</v>
      </c>
      <c r="BD72" s="186"/>
      <c r="BE72" s="146">
        <v>0</v>
      </c>
      <c r="BF72" s="189">
        <f t="shared" si="1"/>
        <v>0</v>
      </c>
      <c r="BG72" s="218"/>
      <c r="BH72" s="189"/>
      <c r="BI72" s="145" t="s">
        <v>263</v>
      </c>
      <c r="BJ72" s="146">
        <v>0</v>
      </c>
      <c r="BK72" s="150" t="s">
        <v>263</v>
      </c>
      <c r="BL72" s="151">
        <f t="shared" si="10"/>
        <v>0</v>
      </c>
      <c r="BR72" s="145" t="s">
        <v>263</v>
      </c>
      <c r="BS72" s="146">
        <v>0</v>
      </c>
      <c r="CA72" s="145" t="s">
        <v>263</v>
      </c>
      <c r="CB72" s="146">
        <v>0</v>
      </c>
    </row>
    <row r="73" spans="1:80" ht="22.5">
      <c r="A73" s="7">
        <f t="shared" si="2"/>
        <v>66</v>
      </c>
      <c r="B73" s="13" t="s">
        <v>94</v>
      </c>
      <c r="C73" s="166"/>
      <c r="D73" s="114">
        <v>260580</v>
      </c>
      <c r="E73" s="166"/>
      <c r="F73" s="114">
        <v>257040</v>
      </c>
      <c r="G73" s="114"/>
      <c r="H73" s="114">
        <f>152756+21500*5</f>
        <v>260256</v>
      </c>
      <c r="I73" s="174"/>
      <c r="J73" s="116">
        <f>AK144</f>
        <v>196346.69</v>
      </c>
      <c r="K73" s="174"/>
      <c r="L73" s="199">
        <v>251538</v>
      </c>
      <c r="M73" s="204"/>
      <c r="N73" s="116">
        <f>AO144</f>
        <v>260090.68</v>
      </c>
      <c r="O73" s="13"/>
      <c r="P73" s="116">
        <f>AS144</f>
        <v>252434.93</v>
      </c>
      <c r="Q73" s="122"/>
      <c r="R73" s="122">
        <v>238109.63</v>
      </c>
      <c r="S73" s="122"/>
      <c r="T73" s="114">
        <v>206180.83</v>
      </c>
      <c r="U73" s="112"/>
      <c r="V73" s="114">
        <v>168716.88</v>
      </c>
      <c r="W73" s="112"/>
      <c r="X73" s="114">
        <v>171654.31</v>
      </c>
      <c r="Y73" s="112"/>
      <c r="AB73" s="7">
        <f t="shared" si="11"/>
        <v>3540</v>
      </c>
      <c r="AG73" s="235"/>
      <c r="AH73" s="236"/>
      <c r="AI73" s="145"/>
      <c r="AJ73" s="145" t="s">
        <v>264</v>
      </c>
      <c r="AK73" s="146">
        <v>195.36</v>
      </c>
      <c r="AL73" s="189"/>
      <c r="AM73" s="189"/>
      <c r="AN73" s="145" t="s">
        <v>264</v>
      </c>
      <c r="AO73" s="146">
        <v>479.84</v>
      </c>
      <c r="AR73" s="150" t="s">
        <v>264</v>
      </c>
      <c r="AS73" s="151">
        <f t="shared" si="9"/>
        <v>1358.24</v>
      </c>
      <c r="AT73" s="222"/>
      <c r="AW73" s="150" t="s">
        <v>216</v>
      </c>
      <c r="AX73" s="151"/>
      <c r="AY73" s="239"/>
      <c r="AZ73" s="78"/>
      <c r="BA73" s="78"/>
      <c r="BB73" s="145" t="s">
        <v>264</v>
      </c>
      <c r="BC73" s="146">
        <v>1358.24</v>
      </c>
      <c r="BD73" s="186"/>
      <c r="BE73" s="146">
        <v>1358.24</v>
      </c>
      <c r="BF73" s="189">
        <f aca="true" t="shared" si="12" ref="BF73:BF136">BE73-BC73</f>
        <v>0</v>
      </c>
      <c r="BG73" s="218"/>
      <c r="BH73" s="189"/>
      <c r="BI73" s="145" t="s">
        <v>264</v>
      </c>
      <c r="BJ73" s="146">
        <v>479.84</v>
      </c>
      <c r="BK73" s="150" t="s">
        <v>264</v>
      </c>
      <c r="BL73" s="151">
        <f t="shared" si="10"/>
        <v>0</v>
      </c>
      <c r="BR73" s="145" t="s">
        <v>264</v>
      </c>
      <c r="BS73" s="146">
        <v>479.84</v>
      </c>
      <c r="CA73" s="145" t="s">
        <v>264</v>
      </c>
      <c r="CB73" s="146">
        <v>195.36</v>
      </c>
    </row>
    <row r="74" spans="1:80" ht="23.25" thickBot="1">
      <c r="A74" s="7">
        <f t="shared" si="2"/>
        <v>67</v>
      </c>
      <c r="B74" s="13" t="s">
        <v>129</v>
      </c>
      <c r="C74" s="166"/>
      <c r="D74" s="127">
        <f>SUM(D68:D73)</f>
        <v>553986</v>
      </c>
      <c r="E74" s="166"/>
      <c r="F74" s="127">
        <f>SUM(F68:F73)</f>
        <v>544670</v>
      </c>
      <c r="G74" s="276"/>
      <c r="H74" s="127">
        <f>SUM(H68:H73)</f>
        <v>488005</v>
      </c>
      <c r="I74" s="174"/>
      <c r="J74" s="128">
        <f>SUM(J68:J73)</f>
        <v>382640.98</v>
      </c>
      <c r="K74" s="174"/>
      <c r="L74" s="226">
        <f>SUM(L68:L73)</f>
        <v>527370</v>
      </c>
      <c r="M74" s="220"/>
      <c r="N74" s="128">
        <f>SUM(N68:N73)</f>
        <v>548693.81</v>
      </c>
      <c r="O74" s="13"/>
      <c r="P74" s="128">
        <f>SUM(P68:P73)</f>
        <v>523748.95</v>
      </c>
      <c r="Q74" s="143"/>
      <c r="R74" s="128">
        <f>SUM(R68:R73)</f>
        <v>537163.48</v>
      </c>
      <c r="S74" s="143"/>
      <c r="T74" s="127">
        <f>SUM(T68:T73)</f>
        <v>501502.72</v>
      </c>
      <c r="U74" s="112"/>
      <c r="V74" s="127">
        <f>SUM(V68:V73)</f>
        <v>425240.19999999995</v>
      </c>
      <c r="W74" s="112"/>
      <c r="X74" s="127">
        <f>SUM(X68:X73)</f>
        <v>440408.89999999997</v>
      </c>
      <c r="Y74" s="112"/>
      <c r="AB74" s="7">
        <f t="shared" si="11"/>
        <v>9316</v>
      </c>
      <c r="AG74" s="235"/>
      <c r="AH74" s="236"/>
      <c r="AI74" s="145"/>
      <c r="AJ74" s="145" t="s">
        <v>265</v>
      </c>
      <c r="AK74" s="146">
        <v>588753</v>
      </c>
      <c r="AL74" s="189"/>
      <c r="AM74" s="189"/>
      <c r="AN74" s="145" t="s">
        <v>265</v>
      </c>
      <c r="AO74" s="146">
        <v>780000</v>
      </c>
      <c r="AR74" s="150" t="s">
        <v>265</v>
      </c>
      <c r="AS74" s="151">
        <f t="shared" si="9"/>
        <v>774999.96</v>
      </c>
      <c r="AT74" s="222"/>
      <c r="AW74" s="152" t="s">
        <v>216</v>
      </c>
      <c r="AX74" s="151"/>
      <c r="AY74" s="239"/>
      <c r="AZ74" s="78"/>
      <c r="BA74" s="78"/>
      <c r="BB74" s="145" t="s">
        <v>265</v>
      </c>
      <c r="BC74" s="146">
        <v>774999.96</v>
      </c>
      <c r="BD74" s="186"/>
      <c r="BE74" s="146">
        <v>774999.96</v>
      </c>
      <c r="BF74" s="189">
        <f t="shared" si="12"/>
        <v>0</v>
      </c>
      <c r="BG74" s="218"/>
      <c r="BH74" s="189"/>
      <c r="BI74" s="145" t="s">
        <v>265</v>
      </c>
      <c r="BJ74" s="146">
        <v>780000</v>
      </c>
      <c r="BK74" s="150" t="s">
        <v>265</v>
      </c>
      <c r="BL74" s="151">
        <f t="shared" si="10"/>
        <v>0</v>
      </c>
      <c r="BR74" s="145" t="s">
        <v>265</v>
      </c>
      <c r="BS74" s="146">
        <v>780000</v>
      </c>
      <c r="CA74" s="145" t="s">
        <v>265</v>
      </c>
      <c r="CB74" s="146">
        <v>588753</v>
      </c>
    </row>
    <row r="75" spans="1:80" ht="24" thickBot="1" thickTop="1">
      <c r="A75" s="7">
        <f aca="true" t="shared" si="13" ref="A75:A84">A74+1</f>
        <v>68</v>
      </c>
      <c r="B75" s="25" t="s">
        <v>133</v>
      </c>
      <c r="C75" s="165"/>
      <c r="D75" s="117">
        <f>SUM(D55:D67)+D54+D74</f>
        <v>943432</v>
      </c>
      <c r="E75" s="165"/>
      <c r="F75" s="117">
        <f>SUM(F55:F67)+F54+F74</f>
        <v>941936</v>
      </c>
      <c r="G75" s="117"/>
      <c r="H75" s="117">
        <f>SUM(H55:H67)+H54+H74</f>
        <v>891971</v>
      </c>
      <c r="I75" s="163"/>
      <c r="J75" s="119">
        <f>SUM(J55:J67)+J54+J74</f>
        <v>406047.56999999995</v>
      </c>
      <c r="K75" s="163"/>
      <c r="L75" s="184">
        <f>SUM(L55:L67)+L54+L74</f>
        <v>932276</v>
      </c>
      <c r="M75" s="184"/>
      <c r="N75" s="119">
        <f>SUM(N55:N67)+N54+N74</f>
        <v>956513.0700000001</v>
      </c>
      <c r="O75" s="25"/>
      <c r="P75" s="119">
        <f>SUM(P55:P67)+P54+P74</f>
        <v>656968.2000000001</v>
      </c>
      <c r="Q75" s="119"/>
      <c r="R75" s="119">
        <f>SUM(R55:R67)+R54+R74</f>
        <v>656678.08</v>
      </c>
      <c r="S75" s="119"/>
      <c r="T75" s="117">
        <f>SUM(T55:T67)+T54+T74</f>
        <v>911307.42</v>
      </c>
      <c r="U75" s="118"/>
      <c r="V75" s="117">
        <f>SUM(V55:V67)+V54+V74</f>
        <v>851283.95</v>
      </c>
      <c r="W75" s="118"/>
      <c r="X75" s="117">
        <f>SUM(X55:X67)+X54+X74</f>
        <v>857478.86</v>
      </c>
      <c r="Y75" s="118"/>
      <c r="AB75" s="7">
        <f t="shared" si="11"/>
        <v>1496</v>
      </c>
      <c r="AG75" s="235"/>
      <c r="AH75" s="236"/>
      <c r="AI75" s="145"/>
      <c r="AJ75" s="145" t="s">
        <v>8</v>
      </c>
      <c r="AK75" s="146">
        <v>31250</v>
      </c>
      <c r="AL75" s="189"/>
      <c r="AM75" s="189"/>
      <c r="AN75" s="145" t="s">
        <v>8</v>
      </c>
      <c r="AO75" s="146">
        <v>29900</v>
      </c>
      <c r="AR75" s="150" t="s">
        <v>8</v>
      </c>
      <c r="AS75" s="151">
        <f t="shared" si="9"/>
        <v>26000</v>
      </c>
      <c r="AT75" s="222"/>
      <c r="AW75" s="150" t="s">
        <v>6</v>
      </c>
      <c r="AX75" s="151">
        <v>1486.17</v>
      </c>
      <c r="AY75" s="239"/>
      <c r="AZ75" s="78"/>
      <c r="BA75" s="78"/>
      <c r="BB75" s="145" t="s">
        <v>8</v>
      </c>
      <c r="BC75" s="146">
        <v>26000</v>
      </c>
      <c r="BD75" s="186"/>
      <c r="BE75" s="146">
        <v>26000</v>
      </c>
      <c r="BF75" s="189">
        <f t="shared" si="12"/>
        <v>0</v>
      </c>
      <c r="BG75" s="218"/>
      <c r="BH75" s="189"/>
      <c r="BI75" s="145" t="s">
        <v>8</v>
      </c>
      <c r="BJ75" s="146">
        <v>29900</v>
      </c>
      <c r="BK75" s="150" t="s">
        <v>8</v>
      </c>
      <c r="BL75" s="151">
        <f t="shared" si="10"/>
        <v>0</v>
      </c>
      <c r="BR75" s="145" t="s">
        <v>8</v>
      </c>
      <c r="BS75" s="146">
        <v>29900</v>
      </c>
      <c r="CA75" s="145" t="s">
        <v>8</v>
      </c>
      <c r="CB75" s="146">
        <v>31250</v>
      </c>
    </row>
    <row r="76" spans="1:80" ht="24" thickTop="1">
      <c r="A76" s="7">
        <f t="shared" si="13"/>
        <v>69</v>
      </c>
      <c r="B76" s="11" t="s">
        <v>86</v>
      </c>
      <c r="C76" s="174"/>
      <c r="D76" s="114"/>
      <c r="E76" s="174"/>
      <c r="F76" s="114"/>
      <c r="G76" s="114"/>
      <c r="H76" s="114"/>
      <c r="I76" s="175"/>
      <c r="J76" s="116"/>
      <c r="K76" s="175"/>
      <c r="L76" s="227"/>
      <c r="M76" s="205"/>
      <c r="N76" s="116"/>
      <c r="O76" s="11"/>
      <c r="P76" s="116"/>
      <c r="Q76" s="116"/>
      <c r="R76" s="116"/>
      <c r="S76" s="116"/>
      <c r="T76" s="114"/>
      <c r="U76" s="112"/>
      <c r="V76" s="114"/>
      <c r="W76" s="112"/>
      <c r="X76" s="114"/>
      <c r="Y76" s="112"/>
      <c r="AB76" s="7">
        <f t="shared" si="11"/>
        <v>0</v>
      </c>
      <c r="AG76" s="235"/>
      <c r="AH76" s="236"/>
      <c r="AI76" s="145"/>
      <c r="AJ76" s="145" t="s">
        <v>9</v>
      </c>
      <c r="AK76" s="146">
        <v>0</v>
      </c>
      <c r="AL76" s="189"/>
      <c r="AM76" s="189"/>
      <c r="AN76" s="145" t="s">
        <v>9</v>
      </c>
      <c r="AO76" s="146">
        <v>7000</v>
      </c>
      <c r="AR76" s="150" t="s">
        <v>9</v>
      </c>
      <c r="AS76" s="151">
        <f t="shared" si="9"/>
        <v>7000</v>
      </c>
      <c r="AT76" s="222"/>
      <c r="AW76" s="150" t="s">
        <v>7</v>
      </c>
      <c r="AX76" s="151">
        <v>1130.58</v>
      </c>
      <c r="AY76" s="239"/>
      <c r="AZ76" s="78"/>
      <c r="BA76" s="78"/>
      <c r="BB76" s="145" t="s">
        <v>9</v>
      </c>
      <c r="BC76" s="146">
        <v>7000</v>
      </c>
      <c r="BD76" s="186"/>
      <c r="BE76" s="146">
        <v>7000</v>
      </c>
      <c r="BF76" s="189">
        <f t="shared" si="12"/>
        <v>0</v>
      </c>
      <c r="BG76" s="218"/>
      <c r="BH76" s="189"/>
      <c r="BI76" s="145" t="s">
        <v>9</v>
      </c>
      <c r="BJ76" s="146">
        <v>7000</v>
      </c>
      <c r="BK76" s="150" t="s">
        <v>9</v>
      </c>
      <c r="BL76" s="151">
        <f t="shared" si="10"/>
        <v>0</v>
      </c>
      <c r="BR76" s="145" t="s">
        <v>9</v>
      </c>
      <c r="BS76" s="146">
        <v>7000</v>
      </c>
      <c r="CA76" s="145" t="s">
        <v>9</v>
      </c>
      <c r="CB76" s="146">
        <v>0</v>
      </c>
    </row>
    <row r="77" spans="1:80" ht="22.5">
      <c r="A77" s="7">
        <f t="shared" si="13"/>
        <v>70</v>
      </c>
      <c r="B77" s="3" t="s">
        <v>147</v>
      </c>
      <c r="C77" s="170"/>
      <c r="D77" s="114">
        <v>381881</v>
      </c>
      <c r="E77" s="170"/>
      <c r="F77" s="114">
        <v>380310</v>
      </c>
      <c r="G77" s="114"/>
      <c r="H77" s="114">
        <f>261337+31823*4-11125-11149-4598-2560-(2500*4)</f>
        <v>349197</v>
      </c>
      <c r="I77" s="166"/>
      <c r="J77" s="116">
        <f>AK169</f>
        <v>324984.3</v>
      </c>
      <c r="K77" s="166"/>
      <c r="L77" s="199">
        <v>373036</v>
      </c>
      <c r="M77" s="204"/>
      <c r="N77" s="116">
        <f>AO169</f>
        <v>359772.97</v>
      </c>
      <c r="O77" s="3"/>
      <c r="P77" s="116">
        <f>AS169</f>
        <v>364722</v>
      </c>
      <c r="Q77" s="116"/>
      <c r="R77" s="116">
        <v>379938.38</v>
      </c>
      <c r="S77" s="116"/>
      <c r="T77" s="114">
        <v>519038.1</v>
      </c>
      <c r="U77" s="112"/>
      <c r="V77" s="114">
        <v>574618.32</v>
      </c>
      <c r="W77" s="112"/>
      <c r="X77" s="114">
        <v>536141.45</v>
      </c>
      <c r="Y77" s="112"/>
      <c r="AB77" s="7">
        <f t="shared" si="11"/>
        <v>1571</v>
      </c>
      <c r="AG77" s="235"/>
      <c r="AH77" s="236"/>
      <c r="AI77" s="145"/>
      <c r="AJ77" s="145" t="s">
        <v>266</v>
      </c>
      <c r="AK77" s="146">
        <v>0</v>
      </c>
      <c r="AL77" s="189"/>
      <c r="AM77" s="189"/>
      <c r="AN77" s="145" t="s">
        <v>266</v>
      </c>
      <c r="AO77" s="146">
        <v>4500</v>
      </c>
      <c r="AR77" s="150" t="s">
        <v>266</v>
      </c>
      <c r="AS77" s="151">
        <f t="shared" si="9"/>
        <v>4500</v>
      </c>
      <c r="AT77" s="222"/>
      <c r="AW77" s="150" t="s">
        <v>263</v>
      </c>
      <c r="AX77" s="151">
        <v>0</v>
      </c>
      <c r="AY77" s="239"/>
      <c r="AZ77" s="78"/>
      <c r="BA77" s="78"/>
      <c r="BB77" s="145" t="s">
        <v>266</v>
      </c>
      <c r="BC77" s="146">
        <v>4500</v>
      </c>
      <c r="BD77" s="186"/>
      <c r="BE77" s="146">
        <v>4500</v>
      </c>
      <c r="BF77" s="189">
        <f t="shared" si="12"/>
        <v>0</v>
      </c>
      <c r="BG77" s="218"/>
      <c r="BH77" s="189"/>
      <c r="BI77" s="145" t="s">
        <v>266</v>
      </c>
      <c r="BJ77" s="146">
        <v>4500</v>
      </c>
      <c r="BK77" s="150" t="s">
        <v>266</v>
      </c>
      <c r="BL77" s="151">
        <f t="shared" si="10"/>
        <v>0</v>
      </c>
      <c r="BR77" s="145" t="s">
        <v>266</v>
      </c>
      <c r="BS77" s="146">
        <v>4500</v>
      </c>
      <c r="CA77" s="145" t="s">
        <v>266</v>
      </c>
      <c r="CB77" s="146">
        <v>0</v>
      </c>
    </row>
    <row r="78" spans="1:80" ht="23.25">
      <c r="A78" s="7">
        <f t="shared" si="13"/>
        <v>71</v>
      </c>
      <c r="B78" s="3" t="s">
        <v>50</v>
      </c>
      <c r="C78" s="175"/>
      <c r="D78" s="114">
        <v>466493</v>
      </c>
      <c r="E78" s="351"/>
      <c r="F78" s="114">
        <v>448710</v>
      </c>
      <c r="G78" s="114"/>
      <c r="H78" s="114">
        <f>266854+34811*4-(7615+24258)-(7622+772+24060)-12847-7152-(7152*4)</f>
        <v>293164</v>
      </c>
      <c r="I78" s="166"/>
      <c r="J78" s="124">
        <f>AK173</f>
        <v>335049.61</v>
      </c>
      <c r="K78" s="166"/>
      <c r="L78" s="199">
        <v>427435</v>
      </c>
      <c r="M78" s="204"/>
      <c r="N78" s="124">
        <f>AO173</f>
        <v>387578.69</v>
      </c>
      <c r="O78" s="3"/>
      <c r="P78" s="124">
        <f>AS173</f>
        <v>435861.27</v>
      </c>
      <c r="Q78" s="124"/>
      <c r="R78" s="124">
        <v>441399.37</v>
      </c>
      <c r="S78" s="124"/>
      <c r="T78" s="114">
        <v>445535.24</v>
      </c>
      <c r="U78" s="112"/>
      <c r="V78" s="114">
        <v>371130.4</v>
      </c>
      <c r="W78" s="112"/>
      <c r="X78" s="114">
        <v>355730.29</v>
      </c>
      <c r="Y78" s="112"/>
      <c r="AB78" s="7">
        <f t="shared" si="11"/>
        <v>17783</v>
      </c>
      <c r="AG78" s="235"/>
      <c r="AH78" s="236"/>
      <c r="AI78" s="145"/>
      <c r="AJ78" s="145" t="s">
        <v>267</v>
      </c>
      <c r="AK78" s="146">
        <v>0</v>
      </c>
      <c r="AL78" s="189"/>
      <c r="AM78" s="189"/>
      <c r="AN78" s="145" t="s">
        <v>267</v>
      </c>
      <c r="AO78" s="146">
        <v>3000</v>
      </c>
      <c r="AR78" s="150" t="s">
        <v>267</v>
      </c>
      <c r="AS78" s="151">
        <f t="shared" si="9"/>
        <v>3000</v>
      </c>
      <c r="AT78" s="222"/>
      <c r="AW78" s="150" t="s">
        <v>264</v>
      </c>
      <c r="AX78" s="151">
        <v>1358.24</v>
      </c>
      <c r="AY78" s="239"/>
      <c r="AZ78" s="78"/>
      <c r="BA78" s="78"/>
      <c r="BB78" s="145" t="s">
        <v>267</v>
      </c>
      <c r="BC78" s="146">
        <v>3000</v>
      </c>
      <c r="BD78" s="186"/>
      <c r="BE78" s="146">
        <v>3000</v>
      </c>
      <c r="BF78" s="189">
        <f t="shared" si="12"/>
        <v>0</v>
      </c>
      <c r="BG78" s="218"/>
      <c r="BH78" s="189"/>
      <c r="BI78" s="145" t="s">
        <v>267</v>
      </c>
      <c r="BJ78" s="146">
        <v>3000</v>
      </c>
      <c r="BK78" s="150" t="s">
        <v>267</v>
      </c>
      <c r="BL78" s="151">
        <f t="shared" si="10"/>
        <v>0</v>
      </c>
      <c r="BR78" s="145" t="s">
        <v>267</v>
      </c>
      <c r="BS78" s="146">
        <v>3000</v>
      </c>
      <c r="CA78" s="145" t="s">
        <v>267</v>
      </c>
      <c r="CB78" s="146">
        <v>0</v>
      </c>
    </row>
    <row r="79" spans="1:80" ht="22.5">
      <c r="A79" s="7">
        <f t="shared" si="13"/>
        <v>72</v>
      </c>
      <c r="B79" s="3" t="s">
        <v>101</v>
      </c>
      <c r="C79" s="166"/>
      <c r="D79" s="114">
        <v>19000</v>
      </c>
      <c r="E79" s="166"/>
      <c r="F79" s="114">
        <v>24000</v>
      </c>
      <c r="G79" s="114"/>
      <c r="H79" s="114">
        <v>10000</v>
      </c>
      <c r="I79" s="166"/>
      <c r="J79" s="116">
        <f>AK116+AK117+AK119+AK120+AK121+AK122+AK123</f>
        <v>2157.26</v>
      </c>
      <c r="K79" s="166"/>
      <c r="L79" s="199">
        <v>23000</v>
      </c>
      <c r="M79" s="204"/>
      <c r="N79" s="116">
        <f>AO116+AO117+AO119+AO120+AO121+AO122+AO123</f>
        <v>21557.57</v>
      </c>
      <c r="O79" s="3"/>
      <c r="P79" s="116">
        <f>AS116+AS117+AS119+AS120+AS121+AS122+AS123</f>
        <v>25933.870000000003</v>
      </c>
      <c r="Q79" s="116"/>
      <c r="R79" s="116">
        <v>19574.69</v>
      </c>
      <c r="S79" s="116"/>
      <c r="T79" s="114">
        <f>16130.95+6801.75+17+3560.96+514.5+8527.85+478.89</f>
        <v>36031.9</v>
      </c>
      <c r="U79" s="112"/>
      <c r="V79" s="114">
        <f>10060.26+13830.28+0.3+3049.47+101.61+4498.43+1343.12</f>
        <v>32883.47</v>
      </c>
      <c r="W79" s="112"/>
      <c r="X79" s="114">
        <f>12244.15+13354.73+124.5+2136.07+3061.59+482.77</f>
        <v>31403.809999999998</v>
      </c>
      <c r="Y79" s="112"/>
      <c r="AB79" s="7">
        <f t="shared" si="11"/>
        <v>-5000</v>
      </c>
      <c r="AG79" s="235"/>
      <c r="AH79" s="236"/>
      <c r="AI79" s="145"/>
      <c r="AJ79" s="145" t="s">
        <v>268</v>
      </c>
      <c r="AK79" s="146">
        <v>0</v>
      </c>
      <c r="AL79" s="189"/>
      <c r="AM79" s="189"/>
      <c r="AN79" s="145" t="s">
        <v>268</v>
      </c>
      <c r="AO79" s="146">
        <v>2000</v>
      </c>
      <c r="AR79" s="150" t="s">
        <v>268</v>
      </c>
      <c r="AS79" s="151">
        <f t="shared" si="9"/>
        <v>2000</v>
      </c>
      <c r="AT79" s="222"/>
      <c r="AW79" s="150" t="s">
        <v>265</v>
      </c>
      <c r="AX79" s="151">
        <v>774999.96</v>
      </c>
      <c r="AY79" s="239"/>
      <c r="AZ79" s="78"/>
      <c r="BA79" s="78"/>
      <c r="BB79" s="145" t="s">
        <v>268</v>
      </c>
      <c r="BC79" s="146">
        <v>2000</v>
      </c>
      <c r="BD79" s="186"/>
      <c r="BE79" s="146">
        <v>2000</v>
      </c>
      <c r="BF79" s="189">
        <f t="shared" si="12"/>
        <v>0</v>
      </c>
      <c r="BG79" s="218"/>
      <c r="BH79" s="189"/>
      <c r="BI79" s="145" t="s">
        <v>268</v>
      </c>
      <c r="BJ79" s="146">
        <v>2000</v>
      </c>
      <c r="BK79" s="150" t="s">
        <v>268</v>
      </c>
      <c r="BL79" s="151">
        <f t="shared" si="10"/>
        <v>0</v>
      </c>
      <c r="BR79" s="145" t="s">
        <v>268</v>
      </c>
      <c r="BS79" s="146">
        <v>2000</v>
      </c>
      <c r="CA79" s="145" t="s">
        <v>268</v>
      </c>
      <c r="CB79" s="146">
        <v>0</v>
      </c>
    </row>
    <row r="80" spans="1:80" ht="22.5">
      <c r="A80" s="7">
        <f t="shared" si="13"/>
        <v>73</v>
      </c>
      <c r="B80" s="3" t="s">
        <v>87</v>
      </c>
      <c r="C80" s="166"/>
      <c r="D80" s="114">
        <v>59098</v>
      </c>
      <c r="E80" s="166"/>
      <c r="F80" s="114">
        <v>58288</v>
      </c>
      <c r="G80" s="114"/>
      <c r="H80" s="114">
        <f>31169+2770*4</f>
        <v>42249</v>
      </c>
      <c r="I80" s="166"/>
      <c r="J80" s="116">
        <f>AK170+AK171+AK172</f>
        <v>35862.380000000005</v>
      </c>
      <c r="K80" s="166"/>
      <c r="L80" s="199">
        <v>57890</v>
      </c>
      <c r="M80" s="204"/>
      <c r="N80" s="116">
        <f>AO170+AO171+AO172</f>
        <v>39097.149999999994</v>
      </c>
      <c r="O80" s="3"/>
      <c r="P80" s="116">
        <f>AS170+AS171+AS172</f>
        <v>46704.44</v>
      </c>
      <c r="Q80" s="116"/>
      <c r="R80" s="116">
        <v>52187.009999999995</v>
      </c>
      <c r="S80" s="116"/>
      <c r="T80" s="114">
        <f>29517.45+12609.32+16915.46</f>
        <v>59042.23</v>
      </c>
      <c r="U80" s="112"/>
      <c r="V80" s="114">
        <f>27056.75+13766.65+16054.27</f>
        <v>56877.67</v>
      </c>
      <c r="W80" s="112"/>
      <c r="X80" s="114">
        <f>27854.71+9492.47+16585.55</f>
        <v>53932.729999999996</v>
      </c>
      <c r="Y80" s="112"/>
      <c r="AB80" s="7">
        <f t="shared" si="11"/>
        <v>810</v>
      </c>
      <c r="AG80" s="235"/>
      <c r="AH80" s="236"/>
      <c r="AI80" s="145"/>
      <c r="AJ80" s="145" t="s">
        <v>184</v>
      </c>
      <c r="AK80" s="157">
        <v>0</v>
      </c>
      <c r="AL80" s="189"/>
      <c r="AM80" s="189"/>
      <c r="AN80" s="145" t="s">
        <v>184</v>
      </c>
      <c r="AO80" s="157">
        <v>1500</v>
      </c>
      <c r="AR80" s="150" t="s">
        <v>184</v>
      </c>
      <c r="AS80" s="151">
        <f t="shared" si="9"/>
        <v>0</v>
      </c>
      <c r="AT80" s="222"/>
      <c r="AW80" s="150" t="s">
        <v>8</v>
      </c>
      <c r="AX80" s="151">
        <v>26000</v>
      </c>
      <c r="AY80" s="239"/>
      <c r="AZ80" s="78"/>
      <c r="BA80" s="78"/>
      <c r="BB80" s="145" t="s">
        <v>184</v>
      </c>
      <c r="BC80" s="157">
        <v>0</v>
      </c>
      <c r="BD80" s="186"/>
      <c r="BE80" s="157">
        <v>0</v>
      </c>
      <c r="BF80" s="189">
        <f t="shared" si="12"/>
        <v>0</v>
      </c>
      <c r="BG80" s="218"/>
      <c r="BH80" s="189"/>
      <c r="BI80" s="145" t="s">
        <v>184</v>
      </c>
      <c r="BJ80" s="157">
        <v>0</v>
      </c>
      <c r="BK80" s="150" t="s">
        <v>184</v>
      </c>
      <c r="BL80" s="151">
        <f t="shared" si="10"/>
        <v>0</v>
      </c>
      <c r="BR80" s="145" t="s">
        <v>184</v>
      </c>
      <c r="BS80" s="157">
        <v>0</v>
      </c>
      <c r="CA80" s="145" t="s">
        <v>184</v>
      </c>
      <c r="CB80" s="157">
        <v>0</v>
      </c>
    </row>
    <row r="81" spans="1:80" ht="22.5">
      <c r="A81" s="7">
        <f t="shared" si="13"/>
        <v>74</v>
      </c>
      <c r="B81" s="11" t="s">
        <v>95</v>
      </c>
      <c r="C81" s="166"/>
      <c r="D81" s="114">
        <f>1135197-559</f>
        <v>1134638</v>
      </c>
      <c r="E81" s="166"/>
      <c r="F81" s="114">
        <f>94458*12</f>
        <v>1133496</v>
      </c>
      <c r="G81" s="114"/>
      <c r="H81" s="114">
        <f>557318+77000*5+114000</f>
        <v>1056318</v>
      </c>
      <c r="I81" s="173"/>
      <c r="J81" s="116">
        <f>AK155</f>
        <v>711394.68</v>
      </c>
      <c r="K81" s="173"/>
      <c r="L81" s="199">
        <v>1133495</v>
      </c>
      <c r="M81" s="204"/>
      <c r="N81" s="116">
        <f>AO155</f>
        <v>1083280.19</v>
      </c>
      <c r="O81" s="262"/>
      <c r="P81" s="116">
        <f>AS155</f>
        <v>1098526.19</v>
      </c>
      <c r="Q81" s="116"/>
      <c r="R81" s="116">
        <v>1146035.8299999998</v>
      </c>
      <c r="S81" s="116"/>
      <c r="T81" s="123">
        <v>1262042.59</v>
      </c>
      <c r="U81" s="112"/>
      <c r="V81" s="123">
        <v>1295761.12</v>
      </c>
      <c r="W81" s="112"/>
      <c r="X81" s="114">
        <f>1281642.85+11123.74</f>
        <v>1292766.59</v>
      </c>
      <c r="Y81" s="112"/>
      <c r="AB81" s="7">
        <f t="shared" si="11"/>
        <v>1142</v>
      </c>
      <c r="AG81" s="235"/>
      <c r="AH81" s="236"/>
      <c r="AI81" s="145"/>
      <c r="AJ81" s="7"/>
      <c r="AK81" s="146">
        <v>626031.29</v>
      </c>
      <c r="AL81" s="189">
        <f>SUM(AK70:AK80)</f>
        <v>626031.29</v>
      </c>
      <c r="AM81" s="189"/>
      <c r="AO81" s="146">
        <v>830860.12</v>
      </c>
      <c r="AR81" s="150" t="s">
        <v>216</v>
      </c>
      <c r="AS81" s="153"/>
      <c r="AT81" s="222"/>
      <c r="AW81" s="150" t="s">
        <v>9</v>
      </c>
      <c r="AX81" s="151">
        <v>7000</v>
      </c>
      <c r="AY81" s="239"/>
      <c r="AZ81" s="78"/>
      <c r="BA81" s="78"/>
      <c r="BB81" s="145" t="s">
        <v>269</v>
      </c>
      <c r="BC81" s="146">
        <v>821474.95</v>
      </c>
      <c r="BD81" s="186"/>
      <c r="BE81" s="146">
        <v>821474.95</v>
      </c>
      <c r="BF81" s="189">
        <f t="shared" si="12"/>
        <v>0</v>
      </c>
      <c r="BG81" s="218"/>
      <c r="BH81" s="189"/>
      <c r="BI81" s="145" t="s">
        <v>269</v>
      </c>
      <c r="BJ81" s="146">
        <v>829126.26</v>
      </c>
      <c r="BK81" s="150" t="s">
        <v>216</v>
      </c>
      <c r="BL81" s="153"/>
      <c r="BR81" s="145" t="s">
        <v>269</v>
      </c>
      <c r="BS81" s="146">
        <v>829126.26</v>
      </c>
      <c r="CA81" s="145" t="s">
        <v>269</v>
      </c>
      <c r="CB81" s="146">
        <v>626031.29</v>
      </c>
    </row>
    <row r="82" spans="1:80" ht="22.5">
      <c r="A82" s="7">
        <f t="shared" si="13"/>
        <v>75</v>
      </c>
      <c r="B82" s="3" t="s">
        <v>446</v>
      </c>
      <c r="C82" s="166"/>
      <c r="D82" s="114">
        <f>-680000</f>
        <v>-680000</v>
      </c>
      <c r="E82" s="166"/>
      <c r="F82" s="114">
        <f>-697000</f>
        <v>-697000</v>
      </c>
      <c r="G82" s="114"/>
      <c r="H82" s="114">
        <f>-431376-52322*4</f>
        <v>-640664</v>
      </c>
      <c r="I82" s="166"/>
      <c r="J82" s="116">
        <f>-AK157-AK158</f>
        <v>-538385.96</v>
      </c>
      <c r="K82" s="166"/>
      <c r="L82" s="199">
        <f>-697248</f>
        <v>-697248</v>
      </c>
      <c r="M82" s="204"/>
      <c r="N82" s="116">
        <f>-AO157-AO158</f>
        <v>-598259.18</v>
      </c>
      <c r="O82" s="3"/>
      <c r="P82" s="116">
        <f>-AS157-AS158</f>
        <v>-622005.92</v>
      </c>
      <c r="Q82" s="116"/>
      <c r="R82" s="116">
        <v>-685257.69</v>
      </c>
      <c r="S82" s="116"/>
      <c r="T82" s="114">
        <f>-746912.77</f>
        <v>-746912.77</v>
      </c>
      <c r="U82" s="112"/>
      <c r="V82" s="114">
        <f>-777351.16-12.63</f>
        <v>-777363.79</v>
      </c>
      <c r="W82" s="112"/>
      <c r="X82" s="114">
        <f>-782258.3+12.63</f>
        <v>-782245.67</v>
      </c>
      <c r="Y82" s="112"/>
      <c r="AB82" s="7">
        <f t="shared" si="11"/>
        <v>17000</v>
      </c>
      <c r="AG82" s="235"/>
      <c r="AH82" s="236"/>
      <c r="AI82" s="145"/>
      <c r="AJ82" s="145" t="s">
        <v>269</v>
      </c>
      <c r="AK82" s="146"/>
      <c r="AL82" s="189"/>
      <c r="AM82" s="189"/>
      <c r="AN82" s="145" t="s">
        <v>269</v>
      </c>
      <c r="AO82" s="146"/>
      <c r="AR82" s="150" t="s">
        <v>269</v>
      </c>
      <c r="AS82" s="151">
        <f>BC81</f>
        <v>821474.95</v>
      </c>
      <c r="AT82" s="185">
        <f>SUM(AS70:AS81)</f>
        <v>821474.95</v>
      </c>
      <c r="AW82" s="150" t="s">
        <v>266</v>
      </c>
      <c r="AX82" s="151">
        <v>4500</v>
      </c>
      <c r="AY82" s="239"/>
      <c r="AZ82" s="78"/>
      <c r="BA82" s="78"/>
      <c r="BB82" s="145" t="s">
        <v>216</v>
      </c>
      <c r="BC82" s="146"/>
      <c r="BD82" s="186"/>
      <c r="BE82" s="146"/>
      <c r="BF82" s="189">
        <f t="shared" si="12"/>
        <v>0</v>
      </c>
      <c r="BG82" s="218"/>
      <c r="BH82" s="189"/>
      <c r="BI82" s="145" t="s">
        <v>216</v>
      </c>
      <c r="BJ82" s="146"/>
      <c r="BK82" s="150" t="s">
        <v>269</v>
      </c>
      <c r="BL82" s="151">
        <f>BV81</f>
        <v>0</v>
      </c>
      <c r="BR82" s="145" t="s">
        <v>216</v>
      </c>
      <c r="BS82" s="146"/>
      <c r="CA82" s="145" t="s">
        <v>216</v>
      </c>
      <c r="CB82" s="146"/>
    </row>
    <row r="83" spans="1:80" ht="22.5">
      <c r="A83" s="7">
        <f t="shared" si="13"/>
        <v>76</v>
      </c>
      <c r="B83" s="3" t="s">
        <v>445</v>
      </c>
      <c r="C83" s="173"/>
      <c r="D83" s="114">
        <f>-343000</f>
        <v>-343000</v>
      </c>
      <c r="E83" s="173"/>
      <c r="F83" s="114">
        <f>-335250</f>
        <v>-335250</v>
      </c>
      <c r="G83" s="114"/>
      <c r="H83" s="114">
        <f>-209065-25973*4</f>
        <v>-312957</v>
      </c>
      <c r="I83" s="166"/>
      <c r="J83" s="116">
        <f>-AK159</f>
        <v>-262024.22</v>
      </c>
      <c r="K83" s="166"/>
      <c r="L83" s="199">
        <f>-27900*12</f>
        <v>-334800</v>
      </c>
      <c r="M83" s="204"/>
      <c r="N83" s="116">
        <f>-AO159</f>
        <v>-331444.18</v>
      </c>
      <c r="O83" s="3"/>
      <c r="P83" s="116">
        <f>-AS159</f>
        <v>-336328.94</v>
      </c>
      <c r="Q83" s="116"/>
      <c r="R83" s="116">
        <v>-349606.12</v>
      </c>
      <c r="S83" s="116"/>
      <c r="T83" s="114">
        <f>-380491.15</f>
        <v>-380491.15</v>
      </c>
      <c r="U83" s="112"/>
      <c r="V83" s="114">
        <f>-394901.25</f>
        <v>-394901.25</v>
      </c>
      <c r="W83" s="112"/>
      <c r="X83" s="114">
        <v>-393356.42</v>
      </c>
      <c r="Y83" s="112"/>
      <c r="AB83" s="7">
        <f t="shared" si="11"/>
        <v>-7750</v>
      </c>
      <c r="AG83" s="235"/>
      <c r="AH83" s="236"/>
      <c r="AI83" s="145"/>
      <c r="AJ83" s="7"/>
      <c r="AK83" s="146"/>
      <c r="AL83" s="189"/>
      <c r="AM83" s="189"/>
      <c r="AO83" s="146"/>
      <c r="AR83" s="150" t="s">
        <v>216</v>
      </c>
      <c r="AS83" s="151"/>
      <c r="AT83" s="222"/>
      <c r="AW83" s="150" t="s">
        <v>267</v>
      </c>
      <c r="AX83" s="151">
        <v>3000</v>
      </c>
      <c r="AY83" s="239"/>
      <c r="AZ83" s="78"/>
      <c r="BA83" s="78"/>
      <c r="BB83" s="145" t="s">
        <v>216</v>
      </c>
      <c r="BC83" s="146"/>
      <c r="BD83" s="186"/>
      <c r="BE83" s="146"/>
      <c r="BF83" s="189">
        <f t="shared" si="12"/>
        <v>0</v>
      </c>
      <c r="BG83" s="218"/>
      <c r="BH83" s="189"/>
      <c r="BI83" s="145" t="s">
        <v>216</v>
      </c>
      <c r="BJ83" s="146"/>
      <c r="BK83" s="150" t="s">
        <v>216</v>
      </c>
      <c r="BL83" s="151"/>
      <c r="BR83" s="145" t="s">
        <v>216</v>
      </c>
      <c r="BS83" s="146"/>
      <c r="CA83" s="145" t="s">
        <v>216</v>
      </c>
      <c r="CB83" s="146"/>
    </row>
    <row r="84" spans="1:80" ht="22.5">
      <c r="A84" s="7">
        <f t="shared" si="13"/>
        <v>77</v>
      </c>
      <c r="B84" s="3" t="s">
        <v>96</v>
      </c>
      <c r="C84" s="166"/>
      <c r="D84" s="127">
        <f>D81+D82+D83</f>
        <v>111638</v>
      </c>
      <c r="E84" s="166"/>
      <c r="F84" s="127">
        <f>F81+F82+F83</f>
        <v>101246</v>
      </c>
      <c r="G84" s="276"/>
      <c r="H84" s="127">
        <f>H81+H82+H83</f>
        <v>102697</v>
      </c>
      <c r="I84" s="166"/>
      <c r="J84" s="128">
        <f>J81+J82+J83</f>
        <v>-89015.49999999991</v>
      </c>
      <c r="K84" s="166"/>
      <c r="L84" s="226">
        <f>L81+L82+L83</f>
        <v>101447</v>
      </c>
      <c r="M84" s="220"/>
      <c r="N84" s="128">
        <f>N81+N82+N83</f>
        <v>153576.8299999999</v>
      </c>
      <c r="O84" s="3"/>
      <c r="P84" s="128">
        <f>P81+P82+P83</f>
        <v>140191.3299999999</v>
      </c>
      <c r="Q84" s="144"/>
      <c r="R84" s="128">
        <f>R81+R82+R83</f>
        <v>111172.0199999999</v>
      </c>
      <c r="S84" s="144"/>
      <c r="T84" s="127">
        <f>T81+T82+T83</f>
        <v>134638.67000000004</v>
      </c>
      <c r="U84" s="112"/>
      <c r="V84" s="127">
        <f>V81+V82+V83</f>
        <v>123496.08000000007</v>
      </c>
      <c r="W84" s="112"/>
      <c r="X84" s="127">
        <f>X81+X82+X83</f>
        <v>117164.50000000006</v>
      </c>
      <c r="Y84" s="112"/>
      <c r="AB84" s="7">
        <f t="shared" si="11"/>
        <v>10392</v>
      </c>
      <c r="AG84" s="235"/>
      <c r="AH84" s="236"/>
      <c r="AI84" s="145"/>
      <c r="AJ84" s="145" t="s">
        <v>270</v>
      </c>
      <c r="AK84" s="146"/>
      <c r="AL84" s="189"/>
      <c r="AM84" s="189"/>
      <c r="AN84" s="145" t="s">
        <v>270</v>
      </c>
      <c r="AO84" s="146"/>
      <c r="AR84" s="150" t="s">
        <v>270</v>
      </c>
      <c r="AS84" s="151"/>
      <c r="AT84" s="222"/>
      <c r="AW84" s="150" t="s">
        <v>268</v>
      </c>
      <c r="AX84" s="151">
        <v>2000</v>
      </c>
      <c r="AY84" s="239"/>
      <c r="AZ84" s="78"/>
      <c r="BA84" s="78"/>
      <c r="BB84" s="145" t="s">
        <v>270</v>
      </c>
      <c r="BC84" s="146"/>
      <c r="BD84" s="186"/>
      <c r="BE84" s="146"/>
      <c r="BF84" s="189">
        <f t="shared" si="12"/>
        <v>0</v>
      </c>
      <c r="BG84" s="218"/>
      <c r="BH84" s="189"/>
      <c r="BI84" s="145" t="s">
        <v>270</v>
      </c>
      <c r="BJ84" s="146"/>
      <c r="BK84" s="150" t="s">
        <v>270</v>
      </c>
      <c r="BL84" s="151"/>
      <c r="BR84" s="145" t="s">
        <v>270</v>
      </c>
      <c r="BS84" s="146"/>
      <c r="CA84" s="145" t="s">
        <v>270</v>
      </c>
      <c r="CB84" s="146"/>
    </row>
    <row r="85" spans="1:80" ht="22.5">
      <c r="A85" s="7">
        <f aca="true" t="shared" si="14" ref="A85:A150">A84+1</f>
        <v>78</v>
      </c>
      <c r="B85" s="3" t="s">
        <v>24</v>
      </c>
      <c r="C85" s="166"/>
      <c r="D85" s="114">
        <v>3500</v>
      </c>
      <c r="E85" s="166"/>
      <c r="F85" s="114">
        <v>3500</v>
      </c>
      <c r="G85" s="114"/>
      <c r="H85" s="114">
        <v>3500</v>
      </c>
      <c r="I85" s="166"/>
      <c r="J85" s="116">
        <f>AK111</f>
        <v>3002.02</v>
      </c>
      <c r="K85" s="166"/>
      <c r="L85" s="199">
        <v>3500</v>
      </c>
      <c r="M85" s="204"/>
      <c r="N85" s="116">
        <f>AO111</f>
        <v>2847.89</v>
      </c>
      <c r="O85" s="3"/>
      <c r="P85" s="116">
        <f>AS111</f>
        <v>3566.99</v>
      </c>
      <c r="Q85" s="116"/>
      <c r="R85" s="116">
        <v>5654.2</v>
      </c>
      <c r="S85" s="116"/>
      <c r="T85" s="114">
        <v>1229.07</v>
      </c>
      <c r="U85" s="112"/>
      <c r="V85" s="114">
        <v>738.16</v>
      </c>
      <c r="W85" s="112"/>
      <c r="X85" s="114">
        <v>6123.5</v>
      </c>
      <c r="Y85" s="112"/>
      <c r="AB85" s="7">
        <f t="shared" si="11"/>
        <v>0</v>
      </c>
      <c r="AG85" s="235"/>
      <c r="AH85" s="236"/>
      <c r="AI85" s="156"/>
      <c r="AJ85" s="156" t="s">
        <v>216</v>
      </c>
      <c r="AK85" s="146"/>
      <c r="AL85" s="189"/>
      <c r="AM85" s="189"/>
      <c r="AN85" s="156" t="s">
        <v>216</v>
      </c>
      <c r="AO85" s="146"/>
      <c r="AR85" s="152" t="s">
        <v>216</v>
      </c>
      <c r="AS85" s="151"/>
      <c r="AT85" s="185"/>
      <c r="AW85" s="150" t="s">
        <v>184</v>
      </c>
      <c r="AX85" s="153">
        <v>0</v>
      </c>
      <c r="AY85" s="239"/>
      <c r="AZ85" s="78"/>
      <c r="BA85" s="78"/>
      <c r="BB85" s="156" t="s">
        <v>216</v>
      </c>
      <c r="BC85" s="146"/>
      <c r="BD85" s="186"/>
      <c r="BE85" s="146"/>
      <c r="BF85" s="189">
        <f t="shared" si="12"/>
        <v>0</v>
      </c>
      <c r="BG85" s="218"/>
      <c r="BH85" s="189"/>
      <c r="BI85" s="156" t="s">
        <v>216</v>
      </c>
      <c r="BJ85" s="146"/>
      <c r="BK85" s="152" t="s">
        <v>216</v>
      </c>
      <c r="BL85" s="151"/>
      <c r="BR85" s="156" t="s">
        <v>216</v>
      </c>
      <c r="BS85" s="146"/>
      <c r="CA85" s="156" t="s">
        <v>216</v>
      </c>
      <c r="CB85" s="146"/>
    </row>
    <row r="86" spans="1:80" ht="22.5">
      <c r="A86" s="7">
        <f t="shared" si="14"/>
        <v>79</v>
      </c>
      <c r="B86" s="3" t="s">
        <v>58</v>
      </c>
      <c r="C86" s="166"/>
      <c r="D86" s="114">
        <v>51000</v>
      </c>
      <c r="E86" s="166"/>
      <c r="F86" s="114">
        <v>51000</v>
      </c>
      <c r="G86" s="114"/>
      <c r="H86" s="114">
        <v>18000</v>
      </c>
      <c r="I86" s="166"/>
      <c r="J86" s="116">
        <f>AK124+AK126</f>
        <v>8710.25</v>
      </c>
      <c r="K86" s="166"/>
      <c r="L86" s="199">
        <v>51000</v>
      </c>
      <c r="M86" s="204"/>
      <c r="N86" s="116">
        <f>AO124+AO126</f>
        <v>52637.200000000004</v>
      </c>
      <c r="O86" s="3"/>
      <c r="P86" s="116">
        <f>AS124+AS126</f>
        <v>45073.17</v>
      </c>
      <c r="Q86" s="116"/>
      <c r="R86" s="116">
        <v>51095.05</v>
      </c>
      <c r="S86" s="116"/>
      <c r="T86" s="114">
        <f>23099.84+39828.33</f>
        <v>62928.17</v>
      </c>
      <c r="U86" s="112"/>
      <c r="V86" s="114">
        <f>35168+28278.6</f>
        <v>63446.6</v>
      </c>
      <c r="W86" s="112"/>
      <c r="X86" s="114">
        <f>15761.24+22021.44</f>
        <v>37782.68</v>
      </c>
      <c r="Y86" s="112"/>
      <c r="AB86" s="7">
        <f t="shared" si="11"/>
        <v>0</v>
      </c>
      <c r="AG86" s="78"/>
      <c r="AH86" s="123"/>
      <c r="AI86" s="145"/>
      <c r="AJ86" s="145" t="s">
        <v>271</v>
      </c>
      <c r="AK86" s="146">
        <v>51954.6</v>
      </c>
      <c r="AL86" s="189"/>
      <c r="AM86" s="189"/>
      <c r="AN86" s="145" t="s">
        <v>271</v>
      </c>
      <c r="AO86" s="146">
        <v>79061.89</v>
      </c>
      <c r="AP86" s="145"/>
      <c r="AR86" s="150" t="s">
        <v>271</v>
      </c>
      <c r="AS86" s="151">
        <f aca="true" t="shared" si="15" ref="AS86:AS117">BC86</f>
        <v>73492.33</v>
      </c>
      <c r="AT86" s="222"/>
      <c r="AY86" s="239"/>
      <c r="AZ86" s="78"/>
      <c r="BA86" s="78"/>
      <c r="BB86" s="145" t="s">
        <v>271</v>
      </c>
      <c r="BC86" s="146">
        <v>73492.33</v>
      </c>
      <c r="BD86" s="186"/>
      <c r="BE86" s="146">
        <v>73492.33</v>
      </c>
      <c r="BF86" s="189">
        <f t="shared" si="12"/>
        <v>0</v>
      </c>
      <c r="BG86" s="218"/>
      <c r="BH86" s="189"/>
      <c r="BI86" s="145" t="s">
        <v>271</v>
      </c>
      <c r="BJ86" s="146">
        <v>78788.38</v>
      </c>
      <c r="BK86" s="150" t="s">
        <v>271</v>
      </c>
      <c r="BL86" s="151">
        <f aca="true" t="shared" si="16" ref="BL86:BL117">BV86</f>
        <v>0</v>
      </c>
      <c r="BR86" s="145" t="s">
        <v>271</v>
      </c>
      <c r="BS86" s="146">
        <v>78788.38</v>
      </c>
      <c r="CA86" s="145" t="s">
        <v>271</v>
      </c>
      <c r="CB86" s="146">
        <v>51954.6</v>
      </c>
    </row>
    <row r="87" spans="1:80" ht="22.5">
      <c r="A87" s="7">
        <f t="shared" si="14"/>
        <v>80</v>
      </c>
      <c r="B87" s="3" t="s">
        <v>54</v>
      </c>
      <c r="C87" s="166"/>
      <c r="D87" s="114">
        <v>250</v>
      </c>
      <c r="E87" s="166"/>
      <c r="F87" s="114">
        <v>250</v>
      </c>
      <c r="G87" s="114"/>
      <c r="H87" s="114">
        <v>250</v>
      </c>
      <c r="I87" s="166"/>
      <c r="J87" s="116">
        <f>AK101</f>
        <v>11.8</v>
      </c>
      <c r="K87" s="166"/>
      <c r="L87" s="199">
        <v>250</v>
      </c>
      <c r="M87" s="204"/>
      <c r="N87" s="116">
        <f>AO101</f>
        <v>3523.1</v>
      </c>
      <c r="O87" s="3"/>
      <c r="P87" s="116">
        <f>AS101</f>
        <v>0</v>
      </c>
      <c r="Q87" s="116"/>
      <c r="R87" s="116">
        <v>54.2</v>
      </c>
      <c r="S87" s="116"/>
      <c r="T87" s="114">
        <v>128.01</v>
      </c>
      <c r="U87" s="112"/>
      <c r="V87" s="114">
        <v>64.5</v>
      </c>
      <c r="W87" s="112"/>
      <c r="X87" s="114">
        <v>433.25</v>
      </c>
      <c r="Y87" s="112"/>
      <c r="AB87" s="7">
        <f t="shared" si="11"/>
        <v>0</v>
      </c>
      <c r="AG87" s="78"/>
      <c r="AH87" s="123"/>
      <c r="AI87" s="145"/>
      <c r="AJ87" s="145" t="s">
        <v>272</v>
      </c>
      <c r="AK87" s="146">
        <v>283.1</v>
      </c>
      <c r="AL87" s="189"/>
      <c r="AM87" s="189"/>
      <c r="AN87" s="145" t="s">
        <v>272</v>
      </c>
      <c r="AO87" s="146">
        <v>1224.97</v>
      </c>
      <c r="AP87" s="145"/>
      <c r="AR87" s="150" t="s">
        <v>272</v>
      </c>
      <c r="AS87" s="151">
        <f t="shared" si="15"/>
        <v>1770.78</v>
      </c>
      <c r="AT87" s="222"/>
      <c r="AW87" s="150" t="s">
        <v>269</v>
      </c>
      <c r="AX87" s="151">
        <v>821474.95</v>
      </c>
      <c r="AY87" s="239"/>
      <c r="AZ87" s="78"/>
      <c r="BA87" s="78"/>
      <c r="BB87" s="145" t="s">
        <v>272</v>
      </c>
      <c r="BC87" s="146">
        <v>1770.78</v>
      </c>
      <c r="BD87" s="186"/>
      <c r="BE87" s="146">
        <v>1770.78</v>
      </c>
      <c r="BF87" s="189">
        <f t="shared" si="12"/>
        <v>0</v>
      </c>
      <c r="BG87" s="218"/>
      <c r="BH87" s="189"/>
      <c r="BI87" s="145" t="s">
        <v>272</v>
      </c>
      <c r="BJ87" s="146">
        <v>1224.97</v>
      </c>
      <c r="BK87" s="150" t="s">
        <v>272</v>
      </c>
      <c r="BL87" s="151">
        <f t="shared" si="16"/>
        <v>0</v>
      </c>
      <c r="BR87" s="145" t="s">
        <v>272</v>
      </c>
      <c r="BS87" s="146">
        <v>1224.97</v>
      </c>
      <c r="CA87" s="145" t="s">
        <v>272</v>
      </c>
      <c r="CB87" s="146">
        <v>283.1</v>
      </c>
    </row>
    <row r="88" spans="1:80" ht="22.5">
      <c r="A88" s="7">
        <f t="shared" si="14"/>
        <v>81</v>
      </c>
      <c r="B88" s="3" t="s">
        <v>64</v>
      </c>
      <c r="C88" s="166"/>
      <c r="D88" s="114">
        <v>600</v>
      </c>
      <c r="E88" s="166"/>
      <c r="F88" s="114">
        <v>600</v>
      </c>
      <c r="G88" s="114"/>
      <c r="H88" s="114">
        <v>600</v>
      </c>
      <c r="I88" s="166"/>
      <c r="J88" s="116">
        <f>AK125</f>
        <v>0</v>
      </c>
      <c r="K88" s="166"/>
      <c r="L88" s="199">
        <v>600</v>
      </c>
      <c r="M88" s="204"/>
      <c r="N88" s="116">
        <f>AO125</f>
        <v>15.6</v>
      </c>
      <c r="O88" s="3"/>
      <c r="P88" s="116">
        <f>AS125</f>
        <v>0.9</v>
      </c>
      <c r="Q88" s="116"/>
      <c r="R88" s="116">
        <v>244.6</v>
      </c>
      <c r="S88" s="116"/>
      <c r="T88" s="114">
        <v>2016.99</v>
      </c>
      <c r="U88" s="112"/>
      <c r="V88" s="114">
        <v>958.36</v>
      </c>
      <c r="W88" s="112"/>
      <c r="X88" s="114">
        <v>1345.09</v>
      </c>
      <c r="Y88" s="112"/>
      <c r="AB88" s="7">
        <f t="shared" si="11"/>
        <v>0</v>
      </c>
      <c r="AG88" s="78"/>
      <c r="AH88" s="123"/>
      <c r="AI88" s="145"/>
      <c r="AJ88" s="145" t="s">
        <v>273</v>
      </c>
      <c r="AK88" s="146">
        <v>0</v>
      </c>
      <c r="AL88" s="189"/>
      <c r="AM88" s="189"/>
      <c r="AN88" s="145" t="s">
        <v>273</v>
      </c>
      <c r="AO88" s="146">
        <v>0</v>
      </c>
      <c r="AP88" s="145"/>
      <c r="AR88" s="150" t="s">
        <v>273</v>
      </c>
      <c r="AS88" s="151">
        <f t="shared" si="15"/>
        <v>0</v>
      </c>
      <c r="AT88" s="222"/>
      <c r="AY88" s="239"/>
      <c r="AZ88" s="78"/>
      <c r="BA88" s="78"/>
      <c r="BB88" s="145" t="s">
        <v>273</v>
      </c>
      <c r="BC88" s="146">
        <v>0</v>
      </c>
      <c r="BD88" s="186"/>
      <c r="BE88" s="146">
        <v>0</v>
      </c>
      <c r="BF88" s="189">
        <f t="shared" si="12"/>
        <v>0</v>
      </c>
      <c r="BG88" s="218"/>
      <c r="BH88" s="189"/>
      <c r="BI88" s="145" t="s">
        <v>273</v>
      </c>
      <c r="BJ88" s="146">
        <v>0</v>
      </c>
      <c r="BK88" s="150" t="s">
        <v>273</v>
      </c>
      <c r="BL88" s="151">
        <f t="shared" si="16"/>
        <v>0</v>
      </c>
      <c r="BR88" s="145" t="s">
        <v>273</v>
      </c>
      <c r="BS88" s="146">
        <v>0</v>
      </c>
      <c r="CA88" s="145" t="s">
        <v>273</v>
      </c>
      <c r="CB88" s="146">
        <v>0</v>
      </c>
    </row>
    <row r="89" spans="1:80" ht="22.5">
      <c r="A89" s="7">
        <f t="shared" si="14"/>
        <v>82</v>
      </c>
      <c r="B89" s="3" t="s">
        <v>100</v>
      </c>
      <c r="C89" s="166"/>
      <c r="D89" s="114">
        <v>5000</v>
      </c>
      <c r="E89" s="166"/>
      <c r="F89" s="114">
        <v>5000</v>
      </c>
      <c r="G89" s="114"/>
      <c r="H89" s="114">
        <v>2500</v>
      </c>
      <c r="I89" s="166"/>
      <c r="J89" s="116">
        <f>AK59</f>
        <v>-60</v>
      </c>
      <c r="K89" s="166"/>
      <c r="L89" s="199">
        <v>5000</v>
      </c>
      <c r="M89" s="204"/>
      <c r="N89" s="116">
        <f>AO59</f>
        <v>7252.87</v>
      </c>
      <c r="O89" s="3"/>
      <c r="P89" s="116">
        <f>AS59</f>
        <v>9749.79</v>
      </c>
      <c r="Q89" s="116"/>
      <c r="R89" s="116">
        <v>10205.27</v>
      </c>
      <c r="S89" s="116"/>
      <c r="T89" s="114">
        <v>1632.15</v>
      </c>
      <c r="U89" s="112"/>
      <c r="V89" s="114">
        <f>-6300.03</f>
        <v>-6300.03</v>
      </c>
      <c r="W89" s="112"/>
      <c r="X89" s="114">
        <v>6360.63</v>
      </c>
      <c r="Y89" s="112"/>
      <c r="AB89" s="7">
        <f t="shared" si="11"/>
        <v>0</v>
      </c>
      <c r="AG89" s="78"/>
      <c r="AH89" s="123"/>
      <c r="AI89" s="145"/>
      <c r="AJ89" s="145" t="s">
        <v>164</v>
      </c>
      <c r="AK89" s="146">
        <v>0.43</v>
      </c>
      <c r="AL89" s="189"/>
      <c r="AM89" s="189"/>
      <c r="AN89" s="145" t="s">
        <v>164</v>
      </c>
      <c r="AO89" s="146">
        <v>13.5</v>
      </c>
      <c r="AP89" s="145"/>
      <c r="AR89" s="150" t="s">
        <v>164</v>
      </c>
      <c r="AS89" s="151">
        <f t="shared" si="15"/>
        <v>4.19</v>
      </c>
      <c r="AT89" s="222"/>
      <c r="AY89" s="239"/>
      <c r="AZ89" s="78"/>
      <c r="BA89" s="78"/>
      <c r="BB89" s="145" t="s">
        <v>164</v>
      </c>
      <c r="BC89" s="146">
        <v>4.19</v>
      </c>
      <c r="BD89" s="186"/>
      <c r="BE89" s="146">
        <v>4.19</v>
      </c>
      <c r="BF89" s="189">
        <f t="shared" si="12"/>
        <v>0</v>
      </c>
      <c r="BG89" s="218"/>
      <c r="BH89" s="189"/>
      <c r="BI89" s="145" t="s">
        <v>164</v>
      </c>
      <c r="BJ89" s="146">
        <v>13.5</v>
      </c>
      <c r="BK89" s="150" t="s">
        <v>164</v>
      </c>
      <c r="BL89" s="151">
        <f t="shared" si="16"/>
        <v>0</v>
      </c>
      <c r="BR89" s="145" t="s">
        <v>164</v>
      </c>
      <c r="BS89" s="146">
        <v>13.5</v>
      </c>
      <c r="CA89" s="145" t="s">
        <v>164</v>
      </c>
      <c r="CB89" s="146">
        <v>0.43</v>
      </c>
    </row>
    <row r="90" spans="1:80" ht="22.5">
      <c r="A90" s="7">
        <f t="shared" si="14"/>
        <v>83</v>
      </c>
      <c r="B90" s="3" t="s">
        <v>110</v>
      </c>
      <c r="C90" s="166"/>
      <c r="D90" s="114">
        <v>6000</v>
      </c>
      <c r="E90" s="166"/>
      <c r="F90" s="114">
        <v>6000</v>
      </c>
      <c r="G90" s="114"/>
      <c r="H90" s="114">
        <v>1500</v>
      </c>
      <c r="I90" s="166"/>
      <c r="J90" s="116">
        <f>AK168</f>
        <v>286.37</v>
      </c>
      <c r="K90" s="166"/>
      <c r="L90" s="199">
        <v>5000</v>
      </c>
      <c r="M90" s="204"/>
      <c r="N90" s="116">
        <f>AO168</f>
        <v>3633.22</v>
      </c>
      <c r="O90" s="3"/>
      <c r="P90" s="116">
        <f>AS168</f>
        <v>12728.04</v>
      </c>
      <c r="Q90" s="116"/>
      <c r="R90" s="116">
        <v>3913.32</v>
      </c>
      <c r="S90" s="116"/>
      <c r="T90" s="114">
        <v>951.41</v>
      </c>
      <c r="U90" s="112"/>
      <c r="V90" s="114"/>
      <c r="W90" s="112"/>
      <c r="X90" s="114">
        <v>743.09</v>
      </c>
      <c r="Y90" s="112"/>
      <c r="AB90" s="7">
        <f t="shared" si="11"/>
        <v>0</v>
      </c>
      <c r="AG90" s="78"/>
      <c r="AH90" s="123"/>
      <c r="AI90" s="145"/>
      <c r="AJ90" s="145" t="s">
        <v>274</v>
      </c>
      <c r="AK90" s="146">
        <v>0.3</v>
      </c>
      <c r="AL90" s="189"/>
      <c r="AM90" s="189"/>
      <c r="AN90" s="145" t="s">
        <v>274</v>
      </c>
      <c r="AO90" s="146">
        <v>26.8</v>
      </c>
      <c r="AP90" s="145"/>
      <c r="AR90" s="150" t="s">
        <v>274</v>
      </c>
      <c r="AS90" s="151">
        <f t="shared" si="15"/>
        <v>282.7</v>
      </c>
      <c r="AT90" s="222"/>
      <c r="AW90" s="150" t="s">
        <v>270</v>
      </c>
      <c r="AY90" s="239"/>
      <c r="AZ90" s="78"/>
      <c r="BA90" s="78"/>
      <c r="BB90" s="145" t="s">
        <v>274</v>
      </c>
      <c r="BC90" s="146">
        <v>282.7</v>
      </c>
      <c r="BD90" s="186"/>
      <c r="BE90" s="146">
        <v>282.7</v>
      </c>
      <c r="BF90" s="189">
        <f t="shared" si="12"/>
        <v>0</v>
      </c>
      <c r="BG90" s="218"/>
      <c r="BH90" s="189"/>
      <c r="BI90" s="145" t="s">
        <v>274</v>
      </c>
      <c r="BJ90" s="146">
        <v>26.8</v>
      </c>
      <c r="BK90" s="150" t="s">
        <v>274</v>
      </c>
      <c r="BL90" s="151">
        <f t="shared" si="16"/>
        <v>0</v>
      </c>
      <c r="BR90" s="145" t="s">
        <v>274</v>
      </c>
      <c r="BS90" s="146">
        <v>26.8</v>
      </c>
      <c r="CA90" s="145" t="s">
        <v>274</v>
      </c>
      <c r="CB90" s="146">
        <v>0.3</v>
      </c>
    </row>
    <row r="91" spans="1:80" ht="22.5">
      <c r="A91" s="7">
        <f t="shared" si="14"/>
        <v>84</v>
      </c>
      <c r="B91" s="3" t="s">
        <v>69</v>
      </c>
      <c r="C91" s="166"/>
      <c r="D91" s="114">
        <v>7000</v>
      </c>
      <c r="E91" s="166"/>
      <c r="F91" s="114">
        <v>7000</v>
      </c>
      <c r="G91" s="114"/>
      <c r="H91" s="114">
        <v>7000</v>
      </c>
      <c r="I91" s="166"/>
      <c r="J91" s="122">
        <f>AK50</f>
        <v>5886.38</v>
      </c>
      <c r="K91" s="166"/>
      <c r="L91" s="199">
        <v>8000</v>
      </c>
      <c r="M91" s="204"/>
      <c r="N91" s="122">
        <f>AO50</f>
        <v>8858.16</v>
      </c>
      <c r="O91" s="3"/>
      <c r="P91" s="122">
        <f>AS50</f>
        <v>16356.21</v>
      </c>
      <c r="Q91" s="116"/>
      <c r="R91" s="116">
        <v>13330.45</v>
      </c>
      <c r="S91" s="116"/>
      <c r="T91" s="114">
        <f>6866.15</f>
        <v>6866.15</v>
      </c>
      <c r="U91" s="112"/>
      <c r="V91" s="114">
        <v>7684.23</v>
      </c>
      <c r="W91" s="112"/>
      <c r="X91" s="114">
        <v>4574.3</v>
      </c>
      <c r="Y91" s="112"/>
      <c r="AB91" s="7">
        <f t="shared" si="11"/>
        <v>0</v>
      </c>
      <c r="AG91" s="78"/>
      <c r="AH91" s="123"/>
      <c r="AI91" s="145"/>
      <c r="AJ91" s="145" t="s">
        <v>275</v>
      </c>
      <c r="AK91" s="146">
        <v>1179.26</v>
      </c>
      <c r="AL91" s="189"/>
      <c r="AM91" s="189"/>
      <c r="AN91" s="145" t="s">
        <v>275</v>
      </c>
      <c r="AO91" s="146">
        <v>3917.08</v>
      </c>
      <c r="AP91" s="145"/>
      <c r="AR91" s="150" t="s">
        <v>275</v>
      </c>
      <c r="AS91" s="151">
        <f t="shared" si="15"/>
        <v>1955.51</v>
      </c>
      <c r="AT91" s="222"/>
      <c r="AW91" s="152" t="s">
        <v>216</v>
      </c>
      <c r="AY91" s="239"/>
      <c r="AZ91" s="78"/>
      <c r="BA91" s="78"/>
      <c r="BB91" s="145" t="s">
        <v>275</v>
      </c>
      <c r="BC91" s="146">
        <v>1955.51</v>
      </c>
      <c r="BD91" s="186"/>
      <c r="BE91" s="146">
        <v>1955.51</v>
      </c>
      <c r="BF91" s="189">
        <f t="shared" si="12"/>
        <v>0</v>
      </c>
      <c r="BG91" s="218"/>
      <c r="BH91" s="189"/>
      <c r="BI91" s="145" t="s">
        <v>275</v>
      </c>
      <c r="BJ91" s="146">
        <v>3917.08</v>
      </c>
      <c r="BK91" s="150" t="s">
        <v>275</v>
      </c>
      <c r="BL91" s="151">
        <f t="shared" si="16"/>
        <v>0</v>
      </c>
      <c r="BR91" s="145" t="s">
        <v>275</v>
      </c>
      <c r="BS91" s="146">
        <v>3917.08</v>
      </c>
      <c r="CA91" s="145" t="s">
        <v>275</v>
      </c>
      <c r="CB91" s="146">
        <v>1179.26</v>
      </c>
    </row>
    <row r="92" spans="1:80" ht="22.5">
      <c r="A92" s="7">
        <v>88</v>
      </c>
      <c r="B92" s="3" t="s">
        <v>191</v>
      </c>
      <c r="C92" s="166"/>
      <c r="D92" s="114">
        <v>3000</v>
      </c>
      <c r="E92" s="166"/>
      <c r="F92" s="114">
        <v>3000</v>
      </c>
      <c r="G92" s="114"/>
      <c r="H92" s="114">
        <v>750</v>
      </c>
      <c r="I92" s="166"/>
      <c r="J92" s="122">
        <f>AK51</f>
        <v>297.59</v>
      </c>
      <c r="K92" s="166"/>
      <c r="L92" s="199">
        <v>4000</v>
      </c>
      <c r="M92" s="204"/>
      <c r="N92" s="122">
        <f>AO51</f>
        <v>3842.48</v>
      </c>
      <c r="O92" s="3"/>
      <c r="P92" s="122">
        <f>AS51</f>
        <v>1411.94</v>
      </c>
      <c r="Q92" s="116"/>
      <c r="R92" s="116">
        <v>3742.3</v>
      </c>
      <c r="S92" s="116"/>
      <c r="T92" s="114">
        <v>6843.4</v>
      </c>
      <c r="U92" s="112"/>
      <c r="V92" s="114">
        <v>4352.49</v>
      </c>
      <c r="W92" s="112"/>
      <c r="X92" s="114"/>
      <c r="Y92" s="112"/>
      <c r="AB92" s="7">
        <f t="shared" si="11"/>
        <v>0</v>
      </c>
      <c r="AG92" s="235"/>
      <c r="AH92" s="236"/>
      <c r="AI92" s="145"/>
      <c r="AJ92" s="145" t="s">
        <v>276</v>
      </c>
      <c r="AK92" s="146">
        <v>64319.08</v>
      </c>
      <c r="AL92" s="189"/>
      <c r="AM92" s="189"/>
      <c r="AN92" s="145" t="s">
        <v>276</v>
      </c>
      <c r="AO92" s="146">
        <v>1.13</v>
      </c>
      <c r="AP92" s="145"/>
      <c r="AR92" s="150" t="s">
        <v>276</v>
      </c>
      <c r="AS92" s="151">
        <f t="shared" si="15"/>
        <v>2444.42</v>
      </c>
      <c r="AT92" s="222"/>
      <c r="AW92" s="150" t="s">
        <v>271</v>
      </c>
      <c r="AX92" s="151">
        <v>73492.33</v>
      </c>
      <c r="AY92" s="239"/>
      <c r="AZ92" s="78"/>
      <c r="BA92" s="78"/>
      <c r="BB92" s="145" t="s">
        <v>276</v>
      </c>
      <c r="BC92" s="146">
        <v>2444.42</v>
      </c>
      <c r="BD92" s="186"/>
      <c r="BE92" s="146">
        <v>2444.42</v>
      </c>
      <c r="BF92" s="189">
        <f t="shared" si="12"/>
        <v>0</v>
      </c>
      <c r="BG92" s="218"/>
      <c r="BH92" s="189"/>
      <c r="BI92" s="145" t="s">
        <v>276</v>
      </c>
      <c r="BJ92" s="146">
        <v>1.13</v>
      </c>
      <c r="BK92" s="150" t="s">
        <v>276</v>
      </c>
      <c r="BL92" s="151">
        <f t="shared" si="16"/>
        <v>0</v>
      </c>
      <c r="BR92" s="145" t="s">
        <v>276</v>
      </c>
      <c r="BS92" s="146">
        <v>1.13</v>
      </c>
      <c r="CA92" s="145" t="s">
        <v>276</v>
      </c>
      <c r="CB92" s="146">
        <v>64319.08</v>
      </c>
    </row>
    <row r="93" spans="2:80" ht="22.5">
      <c r="B93" s="3" t="s">
        <v>192</v>
      </c>
      <c r="C93" s="166"/>
      <c r="D93" s="114">
        <v>1000</v>
      </c>
      <c r="E93" s="166"/>
      <c r="F93" s="114">
        <v>1000</v>
      </c>
      <c r="G93" s="114"/>
      <c r="H93" s="114">
        <v>500</v>
      </c>
      <c r="I93" s="166"/>
      <c r="J93" s="116">
        <f>AK52+AK53</f>
        <v>0</v>
      </c>
      <c r="K93" s="166"/>
      <c r="L93" s="199">
        <v>2000</v>
      </c>
      <c r="M93" s="204"/>
      <c r="N93" s="116">
        <f>AO52+AO53</f>
        <v>768.54</v>
      </c>
      <c r="O93" s="3"/>
      <c r="P93" s="116">
        <f>AS52+AS53</f>
        <v>884.44</v>
      </c>
      <c r="Q93" s="116"/>
      <c r="R93" s="116">
        <v>1307.86</v>
      </c>
      <c r="S93" s="116"/>
      <c r="T93" s="114">
        <f>1703.68+1398.51</f>
        <v>3102.19</v>
      </c>
      <c r="U93" s="112"/>
      <c r="V93" s="114">
        <f>1876.7+1312.59</f>
        <v>3189.29</v>
      </c>
      <c r="W93" s="112"/>
      <c r="X93" s="114"/>
      <c r="Y93" s="112"/>
      <c r="AB93" s="7">
        <f t="shared" si="11"/>
        <v>0</v>
      </c>
      <c r="AG93" s="235"/>
      <c r="AH93" s="236"/>
      <c r="AI93" s="145"/>
      <c r="AJ93" s="145" t="s">
        <v>277</v>
      </c>
      <c r="AK93" s="146">
        <v>0</v>
      </c>
      <c r="AL93" s="189"/>
      <c r="AM93" s="189"/>
      <c r="AN93" s="145" t="s">
        <v>277</v>
      </c>
      <c r="AO93" s="146">
        <v>1026.74</v>
      </c>
      <c r="AP93" s="145"/>
      <c r="AR93" s="150" t="s">
        <v>277</v>
      </c>
      <c r="AS93" s="151">
        <f t="shared" si="15"/>
        <v>1984.05</v>
      </c>
      <c r="AT93" s="222"/>
      <c r="AW93" s="150" t="s">
        <v>272</v>
      </c>
      <c r="AX93" s="151">
        <v>1770.78</v>
      </c>
      <c r="AY93" s="239"/>
      <c r="AZ93" s="78"/>
      <c r="BA93" s="78"/>
      <c r="BB93" s="145" t="s">
        <v>277</v>
      </c>
      <c r="BC93" s="146">
        <v>1984.05</v>
      </c>
      <c r="BD93" s="186"/>
      <c r="BE93" s="146">
        <v>1984.05</v>
      </c>
      <c r="BF93" s="189">
        <f t="shared" si="12"/>
        <v>0</v>
      </c>
      <c r="BG93" s="218"/>
      <c r="BH93" s="189"/>
      <c r="BI93" s="145" t="s">
        <v>277</v>
      </c>
      <c r="BJ93" s="146">
        <v>1026.74</v>
      </c>
      <c r="BK93" s="150" t="s">
        <v>277</v>
      </c>
      <c r="BL93" s="151">
        <f t="shared" si="16"/>
        <v>0</v>
      </c>
      <c r="BR93" s="145" t="s">
        <v>277</v>
      </c>
      <c r="BS93" s="146">
        <v>1026.74</v>
      </c>
      <c r="CA93" s="145" t="s">
        <v>277</v>
      </c>
      <c r="CB93" s="146">
        <v>0</v>
      </c>
    </row>
    <row r="94" spans="1:80" ht="22.5">
      <c r="A94" s="7">
        <f>A92+1</f>
        <v>89</v>
      </c>
      <c r="B94" s="3" t="s">
        <v>146</v>
      </c>
      <c r="C94" s="166"/>
      <c r="D94" s="114">
        <v>3000</v>
      </c>
      <c r="E94" s="166"/>
      <c r="F94" s="114">
        <v>3000</v>
      </c>
      <c r="G94" s="114"/>
      <c r="H94" s="114">
        <v>2000</v>
      </c>
      <c r="I94" s="166"/>
      <c r="J94" s="116">
        <f>AK128</f>
        <v>0</v>
      </c>
      <c r="K94" s="166"/>
      <c r="L94" s="199">
        <v>3000</v>
      </c>
      <c r="M94" s="204"/>
      <c r="N94" s="116">
        <f>AO128</f>
        <v>1870.4</v>
      </c>
      <c r="O94" s="3"/>
      <c r="P94" s="116">
        <f>AS128</f>
        <v>2276.42</v>
      </c>
      <c r="Q94" s="116"/>
      <c r="R94" s="116">
        <v>2649.32</v>
      </c>
      <c r="S94" s="116"/>
      <c r="T94" s="114">
        <v>2447.56</v>
      </c>
      <c r="U94" s="112"/>
      <c r="V94" s="114">
        <v>3515.57</v>
      </c>
      <c r="W94" s="112"/>
      <c r="X94" s="114">
        <v>2791.26</v>
      </c>
      <c r="Y94" s="112"/>
      <c r="AB94" s="7">
        <f t="shared" si="11"/>
        <v>0</v>
      </c>
      <c r="AG94" s="235"/>
      <c r="AH94" s="236"/>
      <c r="AI94" s="145"/>
      <c r="AJ94" s="145" t="s">
        <v>278</v>
      </c>
      <c r="AK94" s="146">
        <v>125.14</v>
      </c>
      <c r="AL94" s="189"/>
      <c r="AM94" s="189"/>
      <c r="AN94" s="145" t="s">
        <v>278</v>
      </c>
      <c r="AO94" s="146">
        <v>2615.44</v>
      </c>
      <c r="AP94" s="145"/>
      <c r="AR94" s="150" t="s">
        <v>278</v>
      </c>
      <c r="AS94" s="151">
        <f t="shared" si="15"/>
        <v>1725.21</v>
      </c>
      <c r="AT94" s="222"/>
      <c r="AW94" s="150" t="s">
        <v>273</v>
      </c>
      <c r="AX94" s="151">
        <v>0</v>
      </c>
      <c r="AY94" s="239"/>
      <c r="AZ94" s="78"/>
      <c r="BA94" s="78"/>
      <c r="BB94" s="145" t="s">
        <v>278</v>
      </c>
      <c r="BC94" s="146">
        <v>1725.21</v>
      </c>
      <c r="BD94" s="186"/>
      <c r="BE94" s="146">
        <v>1725.21</v>
      </c>
      <c r="BF94" s="189">
        <f t="shared" si="12"/>
        <v>0</v>
      </c>
      <c r="BG94" s="218"/>
      <c r="BH94" s="189"/>
      <c r="BI94" s="145" t="s">
        <v>278</v>
      </c>
      <c r="BJ94" s="146">
        <v>2615.44</v>
      </c>
      <c r="BK94" s="150" t="s">
        <v>278</v>
      </c>
      <c r="BL94" s="151">
        <f t="shared" si="16"/>
        <v>0</v>
      </c>
      <c r="BR94" s="145" t="s">
        <v>278</v>
      </c>
      <c r="BS94" s="146">
        <v>2615.44</v>
      </c>
      <c r="CA94" s="145" t="s">
        <v>278</v>
      </c>
      <c r="CB94" s="146">
        <v>125.14</v>
      </c>
    </row>
    <row r="95" spans="1:80" ht="22.5">
      <c r="A95" s="7">
        <f t="shared" si="14"/>
        <v>90</v>
      </c>
      <c r="B95" s="3" t="s">
        <v>66</v>
      </c>
      <c r="C95" s="166"/>
      <c r="D95" s="114">
        <v>500</v>
      </c>
      <c r="E95" s="166"/>
      <c r="F95" s="114">
        <v>500</v>
      </c>
      <c r="G95" s="114"/>
      <c r="H95" s="114">
        <v>500</v>
      </c>
      <c r="I95" s="166"/>
      <c r="J95" s="122">
        <f>AK99</f>
        <v>0</v>
      </c>
      <c r="K95" s="166"/>
      <c r="L95" s="199">
        <v>500</v>
      </c>
      <c r="M95" s="204"/>
      <c r="N95" s="122">
        <f>AO99</f>
        <v>0</v>
      </c>
      <c r="O95" s="3"/>
      <c r="P95" s="122">
        <f>AS99</f>
        <v>22720.1</v>
      </c>
      <c r="Q95" s="122"/>
      <c r="R95" s="122">
        <v>440.15</v>
      </c>
      <c r="S95" s="122"/>
      <c r="T95" s="114">
        <v>438.13</v>
      </c>
      <c r="U95" s="112"/>
      <c r="V95" s="114"/>
      <c r="W95" s="112"/>
      <c r="X95" s="114"/>
      <c r="Y95" s="112"/>
      <c r="AB95" s="7">
        <f t="shared" si="11"/>
        <v>0</v>
      </c>
      <c r="AG95" s="235"/>
      <c r="AH95" s="236"/>
      <c r="AI95" s="145"/>
      <c r="AJ95" s="145" t="s">
        <v>279</v>
      </c>
      <c r="AK95" s="146">
        <v>4770.41</v>
      </c>
      <c r="AL95" s="189"/>
      <c r="AM95" s="189"/>
      <c r="AN95" s="145" t="s">
        <v>279</v>
      </c>
      <c r="AO95" s="146">
        <v>5371.26</v>
      </c>
      <c r="AP95" s="145"/>
      <c r="AR95" s="150" t="s">
        <v>279</v>
      </c>
      <c r="AS95" s="151">
        <f t="shared" si="15"/>
        <v>20241.92</v>
      </c>
      <c r="AT95" s="222"/>
      <c r="AW95" s="150" t="s">
        <v>164</v>
      </c>
      <c r="AX95" s="151">
        <v>4.19</v>
      </c>
      <c r="AY95" s="239"/>
      <c r="AZ95" s="78"/>
      <c r="BA95" s="78"/>
      <c r="BB95" s="145" t="s">
        <v>279</v>
      </c>
      <c r="BC95" s="146">
        <v>20241.92</v>
      </c>
      <c r="BD95" s="186"/>
      <c r="BE95" s="146">
        <v>20241.92</v>
      </c>
      <c r="BF95" s="189">
        <f t="shared" si="12"/>
        <v>0</v>
      </c>
      <c r="BG95" s="218"/>
      <c r="BH95" s="189"/>
      <c r="BI95" s="145" t="s">
        <v>279</v>
      </c>
      <c r="BJ95" s="146">
        <v>5371.26</v>
      </c>
      <c r="BK95" s="150" t="s">
        <v>279</v>
      </c>
      <c r="BL95" s="151">
        <f t="shared" si="16"/>
        <v>0</v>
      </c>
      <c r="BR95" s="145" t="s">
        <v>279</v>
      </c>
      <c r="BS95" s="146">
        <v>5371.26</v>
      </c>
      <c r="CA95" s="145" t="s">
        <v>279</v>
      </c>
      <c r="CB95" s="146">
        <v>4770.41</v>
      </c>
    </row>
    <row r="96" spans="1:80" ht="22.5">
      <c r="A96" s="7">
        <f t="shared" si="14"/>
        <v>91</v>
      </c>
      <c r="B96" s="3" t="s">
        <v>127</v>
      </c>
      <c r="C96" s="166"/>
      <c r="D96" s="114">
        <v>35000</v>
      </c>
      <c r="E96" s="166"/>
      <c r="F96" s="114">
        <v>40000</v>
      </c>
      <c r="G96" s="114"/>
      <c r="H96" s="114">
        <v>14000</v>
      </c>
      <c r="I96" s="166"/>
      <c r="J96" s="116">
        <f>AK114</f>
        <v>8114.75</v>
      </c>
      <c r="K96" s="166"/>
      <c r="L96" s="199">
        <v>38000</v>
      </c>
      <c r="M96" s="204"/>
      <c r="N96" s="116">
        <f>AO114</f>
        <v>30009.89</v>
      </c>
      <c r="O96" s="3"/>
      <c r="P96" s="116">
        <f>AS114</f>
        <v>37736.98</v>
      </c>
      <c r="Q96" s="116"/>
      <c r="R96" s="116">
        <v>45110.96</v>
      </c>
      <c r="S96" s="116"/>
      <c r="T96" s="114">
        <v>43594.39</v>
      </c>
      <c r="U96" s="112"/>
      <c r="V96" s="114">
        <v>34735.73</v>
      </c>
      <c r="W96" s="112"/>
      <c r="X96" s="114">
        <v>24438.75</v>
      </c>
      <c r="Y96" s="112"/>
      <c r="AB96" s="7">
        <f t="shared" si="11"/>
        <v>-5000</v>
      </c>
      <c r="AG96" s="235"/>
      <c r="AH96" s="236"/>
      <c r="AI96" s="145"/>
      <c r="AJ96" s="145" t="s">
        <v>280</v>
      </c>
      <c r="AK96" s="146">
        <v>5740.02</v>
      </c>
      <c r="AL96" s="189"/>
      <c r="AM96" s="189"/>
      <c r="AN96" s="145" t="s">
        <v>280</v>
      </c>
      <c r="AO96" s="146">
        <v>39569.54</v>
      </c>
      <c r="AP96" s="145"/>
      <c r="AR96" s="150" t="s">
        <v>280</v>
      </c>
      <c r="AS96" s="151">
        <f t="shared" si="15"/>
        <v>19982.04</v>
      </c>
      <c r="AT96" s="222"/>
      <c r="AW96" s="150" t="s">
        <v>274</v>
      </c>
      <c r="AX96" s="151">
        <v>282.7</v>
      </c>
      <c r="AY96" s="239"/>
      <c r="AZ96" s="78"/>
      <c r="BA96" s="78"/>
      <c r="BB96" s="145" t="s">
        <v>280</v>
      </c>
      <c r="BC96" s="146">
        <v>19982.04</v>
      </c>
      <c r="BD96" s="186"/>
      <c r="BE96" s="146">
        <v>19982.04</v>
      </c>
      <c r="BF96" s="189">
        <f t="shared" si="12"/>
        <v>0</v>
      </c>
      <c r="BG96" s="218"/>
      <c r="BH96" s="189"/>
      <c r="BI96" s="145" t="s">
        <v>280</v>
      </c>
      <c r="BJ96" s="146">
        <v>38790.84</v>
      </c>
      <c r="BK96" s="150" t="s">
        <v>280</v>
      </c>
      <c r="BL96" s="151">
        <f t="shared" si="16"/>
        <v>0</v>
      </c>
      <c r="BR96" s="145" t="s">
        <v>280</v>
      </c>
      <c r="BS96" s="146">
        <v>38790.84</v>
      </c>
      <c r="CA96" s="145" t="s">
        <v>280</v>
      </c>
      <c r="CB96" s="146">
        <v>5740.02</v>
      </c>
    </row>
    <row r="97" spans="1:80" ht="22.5">
      <c r="A97" s="7">
        <f t="shared" si="14"/>
        <v>92</v>
      </c>
      <c r="B97" s="15" t="s">
        <v>108</v>
      </c>
      <c r="C97" s="166"/>
      <c r="D97" s="114">
        <v>4000</v>
      </c>
      <c r="E97" s="166"/>
      <c r="F97" s="114">
        <v>4000</v>
      </c>
      <c r="G97" s="114"/>
      <c r="H97" s="114">
        <v>1500</v>
      </c>
      <c r="I97" s="169"/>
      <c r="J97" s="116">
        <f>AK57</f>
        <v>-29.32</v>
      </c>
      <c r="K97" s="169"/>
      <c r="L97" s="199">
        <v>4000</v>
      </c>
      <c r="M97" s="204"/>
      <c r="N97" s="116">
        <f>AO57</f>
        <v>3970.68</v>
      </c>
      <c r="O97" s="15"/>
      <c r="P97" s="116">
        <f>AS57</f>
        <v>3912.04</v>
      </c>
      <c r="Q97" s="116"/>
      <c r="R97" s="116">
        <v>4014.89</v>
      </c>
      <c r="S97" s="116"/>
      <c r="T97" s="114">
        <v>4474.3</v>
      </c>
      <c r="U97" s="112"/>
      <c r="V97" s="114">
        <v>4349.04</v>
      </c>
      <c r="W97" s="112"/>
      <c r="X97" s="114">
        <v>3028.32</v>
      </c>
      <c r="Y97" s="112"/>
      <c r="AB97" s="7">
        <f t="shared" si="11"/>
        <v>0</v>
      </c>
      <c r="AG97" s="235"/>
      <c r="AH97" s="236"/>
      <c r="AI97" s="145"/>
      <c r="AJ97" s="145" t="s">
        <v>281</v>
      </c>
      <c r="AK97" s="146">
        <v>1967.39</v>
      </c>
      <c r="AL97" s="189"/>
      <c r="AM97" s="189"/>
      <c r="AN97" s="145" t="s">
        <v>281</v>
      </c>
      <c r="AO97" s="146">
        <v>11679.92</v>
      </c>
      <c r="AP97" s="145"/>
      <c r="AR97" s="150" t="s">
        <v>281</v>
      </c>
      <c r="AS97" s="151">
        <f t="shared" si="15"/>
        <v>11127.51</v>
      </c>
      <c r="AT97" s="222"/>
      <c r="AW97" s="150" t="s">
        <v>275</v>
      </c>
      <c r="AX97" s="151">
        <v>1955.51</v>
      </c>
      <c r="AY97" s="239"/>
      <c r="AZ97" s="78"/>
      <c r="BA97" s="78"/>
      <c r="BB97" s="145" t="s">
        <v>281</v>
      </c>
      <c r="BC97" s="146">
        <v>11127.51</v>
      </c>
      <c r="BD97" s="186"/>
      <c r="BE97" s="146">
        <v>11127.51</v>
      </c>
      <c r="BF97" s="189">
        <f t="shared" si="12"/>
        <v>0</v>
      </c>
      <c r="BG97" s="218"/>
      <c r="BH97" s="189"/>
      <c r="BI97" s="145" t="s">
        <v>281</v>
      </c>
      <c r="BJ97" s="146">
        <v>10728.32</v>
      </c>
      <c r="BK97" s="150" t="s">
        <v>281</v>
      </c>
      <c r="BL97" s="151">
        <f t="shared" si="16"/>
        <v>0</v>
      </c>
      <c r="BR97" s="145" t="s">
        <v>281</v>
      </c>
      <c r="BS97" s="146">
        <v>10728.32</v>
      </c>
      <c r="CA97" s="145" t="s">
        <v>281</v>
      </c>
      <c r="CB97" s="146">
        <v>1967.39</v>
      </c>
    </row>
    <row r="98" spans="1:80" ht="22.5">
      <c r="A98" s="7">
        <f t="shared" si="14"/>
        <v>93</v>
      </c>
      <c r="B98" s="3" t="s">
        <v>47</v>
      </c>
      <c r="C98" s="166"/>
      <c r="D98" s="114">
        <v>25000</v>
      </c>
      <c r="E98" s="166"/>
      <c r="F98" s="114">
        <v>25000</v>
      </c>
      <c r="G98" s="114"/>
      <c r="H98" s="114">
        <v>25000</v>
      </c>
      <c r="I98" s="166"/>
      <c r="J98" s="116">
        <f>AK127</f>
        <v>25000</v>
      </c>
      <c r="K98" s="166"/>
      <c r="L98" s="199">
        <v>25000</v>
      </c>
      <c r="M98" s="204"/>
      <c r="N98" s="116">
        <f>AO127</f>
        <v>25000</v>
      </c>
      <c r="O98" s="3"/>
      <c r="P98" s="116">
        <f>AS127</f>
        <v>25000</v>
      </c>
      <c r="Q98" s="116"/>
      <c r="R98" s="116">
        <v>25000</v>
      </c>
      <c r="S98" s="116"/>
      <c r="T98" s="114">
        <v>25000</v>
      </c>
      <c r="U98" s="112"/>
      <c r="V98" s="114">
        <v>25000</v>
      </c>
      <c r="W98" s="112"/>
      <c r="X98" s="114">
        <v>25000</v>
      </c>
      <c r="Y98" s="112"/>
      <c r="AB98" s="7">
        <f t="shared" si="11"/>
        <v>0</v>
      </c>
      <c r="AG98" s="235"/>
      <c r="AH98" s="236"/>
      <c r="AI98" s="145"/>
      <c r="AJ98" s="145" t="s">
        <v>282</v>
      </c>
      <c r="AK98" s="146">
        <v>-7152.41</v>
      </c>
      <c r="AL98" s="189"/>
      <c r="AM98" s="189"/>
      <c r="AN98" s="145" t="s">
        <v>282</v>
      </c>
      <c r="AO98" s="146">
        <v>18873.7</v>
      </c>
      <c r="AP98" s="145"/>
      <c r="AR98" s="150" t="s">
        <v>282</v>
      </c>
      <c r="AS98" s="151">
        <f t="shared" si="15"/>
        <v>13915.86</v>
      </c>
      <c r="AT98" s="222"/>
      <c r="AW98" s="150" t="s">
        <v>276</v>
      </c>
      <c r="AX98" s="151">
        <v>2444.42</v>
      </c>
      <c r="AY98" s="239"/>
      <c r="AZ98" s="78"/>
      <c r="BA98" s="78"/>
      <c r="BB98" s="145" t="s">
        <v>282</v>
      </c>
      <c r="BC98" s="146">
        <v>13915.86</v>
      </c>
      <c r="BD98" s="186"/>
      <c r="BE98" s="146">
        <v>13915.86</v>
      </c>
      <c r="BF98" s="189">
        <f t="shared" si="12"/>
        <v>0</v>
      </c>
      <c r="BG98" s="218"/>
      <c r="BH98" s="189"/>
      <c r="BI98" s="145" t="s">
        <v>282</v>
      </c>
      <c r="BJ98" s="146">
        <v>18873.7</v>
      </c>
      <c r="BK98" s="150" t="s">
        <v>282</v>
      </c>
      <c r="BL98" s="151">
        <f t="shared" si="16"/>
        <v>0</v>
      </c>
      <c r="BR98" s="145" t="s">
        <v>282</v>
      </c>
      <c r="BS98" s="146">
        <v>18873.7</v>
      </c>
      <c r="CA98" s="145" t="s">
        <v>282</v>
      </c>
      <c r="CB98" s="146">
        <v>-7152.41</v>
      </c>
    </row>
    <row r="99" spans="1:80" ht="22.5">
      <c r="A99" s="7">
        <f t="shared" si="14"/>
        <v>94</v>
      </c>
      <c r="B99" s="3" t="s">
        <v>45</v>
      </c>
      <c r="C99" s="169"/>
      <c r="D99" s="114">
        <v>1300</v>
      </c>
      <c r="E99" s="169"/>
      <c r="F99" s="114">
        <v>1300</v>
      </c>
      <c r="G99" s="114"/>
      <c r="H99" s="114">
        <v>1300</v>
      </c>
      <c r="I99" s="166"/>
      <c r="J99" s="116">
        <f>AK162+AK164</f>
        <v>0</v>
      </c>
      <c r="K99" s="166"/>
      <c r="L99" s="199">
        <v>1300</v>
      </c>
      <c r="M99" s="204"/>
      <c r="N99" s="116">
        <f>AO162+AO164</f>
        <v>1304.75</v>
      </c>
      <c r="O99" s="3"/>
      <c r="P99" s="116">
        <f>AS162+AS164</f>
        <v>1321.62</v>
      </c>
      <c r="Q99" s="116"/>
      <c r="R99" s="116">
        <v>1581.26</v>
      </c>
      <c r="S99" s="116"/>
      <c r="T99" s="114">
        <f>93.87+1481.23</f>
        <v>1575.1</v>
      </c>
      <c r="U99" s="112"/>
      <c r="V99" s="114">
        <f>-736.03+992.36</f>
        <v>256.33000000000004</v>
      </c>
      <c r="W99" s="112"/>
      <c r="X99" s="114">
        <f>1337.13+167.03</f>
        <v>1504.16</v>
      </c>
      <c r="Y99" s="112"/>
      <c r="AB99" s="7">
        <f t="shared" si="11"/>
        <v>0</v>
      </c>
      <c r="AG99" s="235"/>
      <c r="AH99" s="236"/>
      <c r="AI99" s="145"/>
      <c r="AJ99" s="145" t="s">
        <v>283</v>
      </c>
      <c r="AK99" s="146">
        <v>0</v>
      </c>
      <c r="AL99" s="189"/>
      <c r="AM99" s="189"/>
      <c r="AN99" s="145" t="s">
        <v>283</v>
      </c>
      <c r="AO99" s="146">
        <v>0</v>
      </c>
      <c r="AP99" s="145"/>
      <c r="AR99" s="150" t="s">
        <v>283</v>
      </c>
      <c r="AS99" s="151">
        <f t="shared" si="15"/>
        <v>22720.1</v>
      </c>
      <c r="AT99" s="222"/>
      <c r="AW99" s="150" t="s">
        <v>277</v>
      </c>
      <c r="AX99" s="151">
        <v>1984.05</v>
      </c>
      <c r="AY99" s="239"/>
      <c r="AZ99" s="78"/>
      <c r="BA99" s="78"/>
      <c r="BB99" s="145" t="s">
        <v>283</v>
      </c>
      <c r="BC99" s="146">
        <v>22720.1</v>
      </c>
      <c r="BD99" s="186"/>
      <c r="BE99" s="146">
        <v>22720.1</v>
      </c>
      <c r="BF99" s="189">
        <f t="shared" si="12"/>
        <v>0</v>
      </c>
      <c r="BG99" s="218"/>
      <c r="BH99" s="189"/>
      <c r="BI99" s="145" t="s">
        <v>283</v>
      </c>
      <c r="BJ99" s="146">
        <v>0</v>
      </c>
      <c r="BK99" s="150" t="s">
        <v>283</v>
      </c>
      <c r="BL99" s="151">
        <f t="shared" si="16"/>
        <v>0</v>
      </c>
      <c r="BR99" s="145" t="s">
        <v>283</v>
      </c>
      <c r="BS99" s="146">
        <v>0</v>
      </c>
      <c r="CA99" s="145" t="s">
        <v>283</v>
      </c>
      <c r="CB99" s="146">
        <v>0</v>
      </c>
    </row>
    <row r="100" spans="1:80" ht="22.5">
      <c r="A100" s="7">
        <f t="shared" si="14"/>
        <v>95</v>
      </c>
      <c r="B100" s="3" t="s">
        <v>175</v>
      </c>
      <c r="C100" s="166"/>
      <c r="D100" s="114">
        <v>7500</v>
      </c>
      <c r="E100" s="166"/>
      <c r="F100" s="114">
        <v>7500</v>
      </c>
      <c r="G100" s="114"/>
      <c r="H100" s="114">
        <v>5500</v>
      </c>
      <c r="I100" s="166"/>
      <c r="J100" s="122">
        <f>AK49+AK163</f>
        <v>3312.51</v>
      </c>
      <c r="K100" s="166"/>
      <c r="L100" s="199">
        <v>7500</v>
      </c>
      <c r="M100" s="204"/>
      <c r="N100" s="122">
        <f>AO49+AO163</f>
        <v>11852.41</v>
      </c>
      <c r="O100" s="3"/>
      <c r="P100" s="122">
        <f>AS49+AS163</f>
        <v>26715.75</v>
      </c>
      <c r="Q100" s="116"/>
      <c r="R100" s="116">
        <v>9744.210000000001</v>
      </c>
      <c r="S100" s="116"/>
      <c r="T100" s="114">
        <f>1106.74+8529.15</f>
        <v>9635.89</v>
      </c>
      <c r="U100" s="112"/>
      <c r="V100" s="114">
        <f>52.18+9826.34</f>
        <v>9878.52</v>
      </c>
      <c r="W100" s="112"/>
      <c r="X100" s="114">
        <f>421.41+36363.53</f>
        <v>36784.94</v>
      </c>
      <c r="Y100" s="112"/>
      <c r="AB100" s="7">
        <f t="shared" si="11"/>
        <v>0</v>
      </c>
      <c r="AG100" s="235"/>
      <c r="AH100" s="236"/>
      <c r="AI100" s="145"/>
      <c r="AJ100" s="145" t="s">
        <v>284</v>
      </c>
      <c r="AK100" s="146">
        <v>43269.44</v>
      </c>
      <c r="AL100" s="189"/>
      <c r="AM100" s="189"/>
      <c r="AN100" s="145" t="s">
        <v>284</v>
      </c>
      <c r="AO100" s="146">
        <v>53575.88</v>
      </c>
      <c r="AP100" s="145"/>
      <c r="AR100" s="150" t="s">
        <v>284</v>
      </c>
      <c r="AS100" s="151">
        <f t="shared" si="15"/>
        <v>51315.77</v>
      </c>
      <c r="AT100" s="222"/>
      <c r="AW100" s="150" t="s">
        <v>278</v>
      </c>
      <c r="AX100" s="151">
        <v>1725.21</v>
      </c>
      <c r="AY100" s="239"/>
      <c r="AZ100" s="78"/>
      <c r="BA100" s="78"/>
      <c r="BB100" s="145" t="s">
        <v>284</v>
      </c>
      <c r="BC100" s="146">
        <v>51315.77</v>
      </c>
      <c r="BD100" s="186"/>
      <c r="BE100" s="146">
        <v>51315.77</v>
      </c>
      <c r="BF100" s="189">
        <f t="shared" si="12"/>
        <v>0</v>
      </c>
      <c r="BG100" s="218"/>
      <c r="BH100" s="189"/>
      <c r="BI100" s="145" t="s">
        <v>284</v>
      </c>
      <c r="BJ100" s="146">
        <v>53575.88</v>
      </c>
      <c r="BK100" s="150" t="s">
        <v>284</v>
      </c>
      <c r="BL100" s="151">
        <f t="shared" si="16"/>
        <v>0</v>
      </c>
      <c r="BR100" s="145" t="s">
        <v>284</v>
      </c>
      <c r="BS100" s="146">
        <v>53575.88</v>
      </c>
      <c r="CA100" s="145" t="s">
        <v>284</v>
      </c>
      <c r="CB100" s="146">
        <v>43269.44</v>
      </c>
    </row>
    <row r="101" spans="1:80" ht="22.5">
      <c r="A101" s="7">
        <f t="shared" si="14"/>
        <v>96</v>
      </c>
      <c r="B101" s="3" t="s">
        <v>29</v>
      </c>
      <c r="C101" s="166"/>
      <c r="D101" s="114"/>
      <c r="E101" s="166"/>
      <c r="F101" s="114"/>
      <c r="G101" s="114"/>
      <c r="H101" s="114"/>
      <c r="I101" s="166"/>
      <c r="J101" s="116">
        <f>AK166</f>
        <v>0</v>
      </c>
      <c r="K101" s="166"/>
      <c r="L101" s="199"/>
      <c r="M101" s="204"/>
      <c r="N101" s="116">
        <f>AO166</f>
        <v>0.3</v>
      </c>
      <c r="O101" s="3"/>
      <c r="P101" s="116">
        <f>AS166</f>
        <v>143.6</v>
      </c>
      <c r="Q101" s="116"/>
      <c r="R101" s="116">
        <v>0.2</v>
      </c>
      <c r="S101" s="116"/>
      <c r="T101" s="114">
        <v>8</v>
      </c>
      <c r="U101" s="112"/>
      <c r="V101" s="114">
        <v>16.08</v>
      </c>
      <c r="W101" s="112"/>
      <c r="X101" s="114">
        <v>325.86</v>
      </c>
      <c r="Y101" s="112"/>
      <c r="AB101" s="7">
        <f t="shared" si="11"/>
        <v>0</v>
      </c>
      <c r="AG101" s="235"/>
      <c r="AH101" s="236"/>
      <c r="AI101" s="145"/>
      <c r="AJ101" s="145" t="s">
        <v>285</v>
      </c>
      <c r="AK101" s="146">
        <v>11.8</v>
      </c>
      <c r="AL101" s="189"/>
      <c r="AM101" s="189"/>
      <c r="AN101" s="145" t="s">
        <v>285</v>
      </c>
      <c r="AO101" s="146">
        <v>3523.1</v>
      </c>
      <c r="AP101" s="145"/>
      <c r="AR101" s="150" t="s">
        <v>285</v>
      </c>
      <c r="AS101" s="151">
        <f t="shared" si="15"/>
        <v>0</v>
      </c>
      <c r="AT101" s="222"/>
      <c r="AW101" s="150" t="s">
        <v>279</v>
      </c>
      <c r="AX101" s="151">
        <v>20241.92</v>
      </c>
      <c r="AY101" s="239"/>
      <c r="AZ101" s="78"/>
      <c r="BA101" s="78"/>
      <c r="BB101" s="145" t="s">
        <v>285</v>
      </c>
      <c r="BC101" s="146">
        <v>0</v>
      </c>
      <c r="BD101" s="186"/>
      <c r="BE101" s="146">
        <v>0</v>
      </c>
      <c r="BF101" s="189">
        <f t="shared" si="12"/>
        <v>0</v>
      </c>
      <c r="BG101" s="218"/>
      <c r="BH101" s="189"/>
      <c r="BI101" s="145" t="s">
        <v>285</v>
      </c>
      <c r="BJ101" s="146">
        <v>3523.1</v>
      </c>
      <c r="BK101" s="150" t="s">
        <v>285</v>
      </c>
      <c r="BL101" s="151">
        <f t="shared" si="16"/>
        <v>0</v>
      </c>
      <c r="BR101" s="145" t="s">
        <v>285</v>
      </c>
      <c r="BS101" s="146">
        <v>3523.1</v>
      </c>
      <c r="CA101" s="145" t="s">
        <v>285</v>
      </c>
      <c r="CB101" s="146">
        <v>11.8</v>
      </c>
    </row>
    <row r="102" spans="1:80" ht="22.5">
      <c r="A102" s="7">
        <f t="shared" si="14"/>
        <v>97</v>
      </c>
      <c r="B102" s="2" t="s">
        <v>44</v>
      </c>
      <c r="C102" s="166"/>
      <c r="D102" s="114">
        <v>1000</v>
      </c>
      <c r="E102" s="166"/>
      <c r="F102" s="114">
        <v>1000</v>
      </c>
      <c r="G102" s="114"/>
      <c r="H102" s="114">
        <v>250</v>
      </c>
      <c r="I102" s="172"/>
      <c r="J102" s="116">
        <f>AK165</f>
        <v>0</v>
      </c>
      <c r="K102" s="172"/>
      <c r="L102" s="199">
        <v>1000</v>
      </c>
      <c r="M102" s="204"/>
      <c r="N102" s="116">
        <f>AO165</f>
        <v>0</v>
      </c>
      <c r="O102" s="2"/>
      <c r="P102" s="116">
        <f>AS165</f>
        <v>0</v>
      </c>
      <c r="Q102" s="116"/>
      <c r="R102" s="116">
        <v>2086.01</v>
      </c>
      <c r="S102" s="116"/>
      <c r="T102" s="114">
        <v>7.27</v>
      </c>
      <c r="U102" s="112"/>
      <c r="V102" s="114">
        <v>63.87</v>
      </c>
      <c r="W102" s="112"/>
      <c r="X102" s="114"/>
      <c r="Y102" s="112"/>
      <c r="AB102" s="7">
        <f t="shared" si="11"/>
        <v>0</v>
      </c>
      <c r="AG102" s="235"/>
      <c r="AH102" s="236"/>
      <c r="AI102" s="145"/>
      <c r="AJ102" s="145" t="s">
        <v>286</v>
      </c>
      <c r="AK102" s="146"/>
      <c r="AL102" s="189"/>
      <c r="AM102" s="189"/>
      <c r="AN102" s="145" t="s">
        <v>286</v>
      </c>
      <c r="AO102" s="146"/>
      <c r="AP102" s="145"/>
      <c r="AR102" s="150" t="s">
        <v>286</v>
      </c>
      <c r="AS102" s="151">
        <f t="shared" si="15"/>
        <v>0</v>
      </c>
      <c r="AT102" s="222"/>
      <c r="AW102" s="150" t="s">
        <v>280</v>
      </c>
      <c r="AX102" s="151">
        <v>19982.04</v>
      </c>
      <c r="AY102" s="239"/>
      <c r="AZ102" s="78"/>
      <c r="BA102" s="78"/>
      <c r="BB102" s="145" t="s">
        <v>286</v>
      </c>
      <c r="BC102" s="146"/>
      <c r="BD102" s="186"/>
      <c r="BE102" s="146"/>
      <c r="BF102" s="189">
        <f t="shared" si="12"/>
        <v>0</v>
      </c>
      <c r="BG102" s="218"/>
      <c r="BH102" s="189"/>
      <c r="BI102" s="145" t="s">
        <v>286</v>
      </c>
      <c r="BJ102" s="146"/>
      <c r="BK102" s="150" t="s">
        <v>286</v>
      </c>
      <c r="BL102" s="151">
        <f t="shared" si="16"/>
        <v>0</v>
      </c>
      <c r="BR102" s="145" t="s">
        <v>286</v>
      </c>
      <c r="BS102" s="146"/>
      <c r="CA102" s="145" t="s">
        <v>286</v>
      </c>
      <c r="CB102" s="146"/>
    </row>
    <row r="103" spans="1:80" ht="22.5">
      <c r="A103" s="7">
        <f t="shared" si="14"/>
        <v>98</v>
      </c>
      <c r="B103" s="15" t="s">
        <v>102</v>
      </c>
      <c r="C103" s="166"/>
      <c r="D103" s="114">
        <v>2000</v>
      </c>
      <c r="E103" s="166"/>
      <c r="F103" s="114">
        <v>2000</v>
      </c>
      <c r="G103" s="114"/>
      <c r="H103" s="114">
        <v>1000</v>
      </c>
      <c r="I103" s="169"/>
      <c r="J103" s="116">
        <f>AK41</f>
        <v>144.33</v>
      </c>
      <c r="K103" s="169"/>
      <c r="L103" s="199">
        <v>2000</v>
      </c>
      <c r="M103" s="204"/>
      <c r="N103" s="116">
        <f>AO41</f>
        <v>852.07</v>
      </c>
      <c r="O103" s="15"/>
      <c r="P103" s="116">
        <f>AS41</f>
        <v>555.94</v>
      </c>
      <c r="Q103" s="116"/>
      <c r="R103" s="116">
        <v>4474.38</v>
      </c>
      <c r="S103" s="116"/>
      <c r="T103" s="114">
        <v>708.13</v>
      </c>
      <c r="U103" s="112"/>
      <c r="V103" s="114">
        <v>1257.8</v>
      </c>
      <c r="W103" s="112"/>
      <c r="X103" s="114">
        <v>1045.94</v>
      </c>
      <c r="Y103" s="112"/>
      <c r="AB103" s="7">
        <f t="shared" si="11"/>
        <v>0</v>
      </c>
      <c r="AG103" s="235"/>
      <c r="AH103" s="236"/>
      <c r="AI103" s="145"/>
      <c r="AJ103" s="145" t="s">
        <v>287</v>
      </c>
      <c r="AK103" s="146">
        <v>8319.71</v>
      </c>
      <c r="AL103" s="189"/>
      <c r="AM103" s="189"/>
      <c r="AN103" s="145" t="s">
        <v>287</v>
      </c>
      <c r="AO103" s="146">
        <v>2009.19</v>
      </c>
      <c r="AP103" s="145"/>
      <c r="AR103" s="150" t="s">
        <v>287</v>
      </c>
      <c r="AS103" s="151">
        <f t="shared" si="15"/>
        <v>-6879.08</v>
      </c>
      <c r="AT103" s="222"/>
      <c r="AW103" s="150" t="s">
        <v>281</v>
      </c>
      <c r="AX103" s="151">
        <v>11127.51</v>
      </c>
      <c r="AY103" s="239"/>
      <c r="AZ103" s="78"/>
      <c r="BA103" s="78"/>
      <c r="BB103" s="145" t="s">
        <v>287</v>
      </c>
      <c r="BC103" s="146">
        <v>-6879.08</v>
      </c>
      <c r="BD103" s="186"/>
      <c r="BE103" s="146">
        <v>-6879.08</v>
      </c>
      <c r="BF103" s="189">
        <f t="shared" si="12"/>
        <v>0</v>
      </c>
      <c r="BG103" s="218"/>
      <c r="BH103" s="189"/>
      <c r="BI103" s="145" t="s">
        <v>287</v>
      </c>
      <c r="BJ103" s="146">
        <v>2009.19</v>
      </c>
      <c r="BK103" s="150" t="s">
        <v>287</v>
      </c>
      <c r="BL103" s="151">
        <f t="shared" si="16"/>
        <v>0</v>
      </c>
      <c r="BR103" s="145" t="s">
        <v>287</v>
      </c>
      <c r="BS103" s="146">
        <v>2009.19</v>
      </c>
      <c r="CA103" s="145" t="s">
        <v>287</v>
      </c>
      <c r="CB103" s="146">
        <v>8319.71</v>
      </c>
    </row>
    <row r="104" spans="1:80" ht="22.5">
      <c r="A104" s="7">
        <f t="shared" si="14"/>
        <v>99</v>
      </c>
      <c r="B104" s="15" t="s">
        <v>109</v>
      </c>
      <c r="C104" s="172"/>
      <c r="D104" s="114">
        <v>1000</v>
      </c>
      <c r="E104" s="172"/>
      <c r="F104" s="114">
        <v>1000</v>
      </c>
      <c r="G104" s="114"/>
      <c r="H104" s="114">
        <v>1000</v>
      </c>
      <c r="I104" s="169"/>
      <c r="J104" s="122">
        <f>AK58</f>
        <v>0</v>
      </c>
      <c r="K104" s="169"/>
      <c r="L104" s="199">
        <v>1000</v>
      </c>
      <c r="M104" s="204"/>
      <c r="N104" s="122">
        <f>AO58</f>
        <v>1107.3</v>
      </c>
      <c r="O104" s="15"/>
      <c r="P104" s="122">
        <f>AS58</f>
        <v>1287.3</v>
      </c>
      <c r="Q104" s="116"/>
      <c r="R104" s="116">
        <v>1636.06</v>
      </c>
      <c r="S104" s="116"/>
      <c r="T104" s="123">
        <v>3.6</v>
      </c>
      <c r="U104" s="112"/>
      <c r="V104" s="114">
        <v>31</v>
      </c>
      <c r="W104" s="112"/>
      <c r="X104" s="114"/>
      <c r="Y104" s="112"/>
      <c r="AB104" s="7">
        <f aca="true" t="shared" si="17" ref="AB104:AB135">D104-F104</f>
        <v>0</v>
      </c>
      <c r="AG104" s="235"/>
      <c r="AH104" s="236"/>
      <c r="AI104" s="145"/>
      <c r="AJ104" s="145" t="s">
        <v>288</v>
      </c>
      <c r="AK104" s="146">
        <v>10213.78</v>
      </c>
      <c r="AL104" s="189"/>
      <c r="AM104" s="189"/>
      <c r="AN104" s="145" t="s">
        <v>288</v>
      </c>
      <c r="AO104" s="146">
        <v>11917.09</v>
      </c>
      <c r="AP104" s="145"/>
      <c r="AR104" s="150" t="s">
        <v>288</v>
      </c>
      <c r="AS104" s="151">
        <f t="shared" si="15"/>
        <v>15130.88</v>
      </c>
      <c r="AT104" s="222"/>
      <c r="AW104" s="150" t="s">
        <v>282</v>
      </c>
      <c r="AX104" s="151">
        <v>13915.86</v>
      </c>
      <c r="AY104" s="239"/>
      <c r="AZ104" s="78"/>
      <c r="BA104" s="78"/>
      <c r="BB104" s="145" t="s">
        <v>288</v>
      </c>
      <c r="BC104" s="146">
        <v>15130.88</v>
      </c>
      <c r="BD104" s="186"/>
      <c r="BE104" s="146">
        <v>15130.88</v>
      </c>
      <c r="BF104" s="189">
        <f t="shared" si="12"/>
        <v>0</v>
      </c>
      <c r="BG104" s="218"/>
      <c r="BH104" s="189"/>
      <c r="BI104" s="145" t="s">
        <v>288</v>
      </c>
      <c r="BJ104" s="146">
        <v>11251.79</v>
      </c>
      <c r="BK104" s="150" t="s">
        <v>288</v>
      </c>
      <c r="BL104" s="151">
        <f t="shared" si="16"/>
        <v>0</v>
      </c>
      <c r="BR104" s="145" t="s">
        <v>288</v>
      </c>
      <c r="BS104" s="146">
        <v>11251.79</v>
      </c>
      <c r="CA104" s="145" t="s">
        <v>288</v>
      </c>
      <c r="CB104" s="146">
        <v>10213.78</v>
      </c>
    </row>
    <row r="105" spans="1:80" ht="23.25" thickBot="1">
      <c r="A105" s="7">
        <f t="shared" si="14"/>
        <v>100</v>
      </c>
      <c r="B105" s="15" t="s">
        <v>128</v>
      </c>
      <c r="C105" s="169"/>
      <c r="D105" s="114">
        <v>35000</v>
      </c>
      <c r="E105" s="169"/>
      <c r="F105" s="114">
        <v>35000</v>
      </c>
      <c r="G105" s="114"/>
      <c r="H105" s="114">
        <v>35000</v>
      </c>
      <c r="I105" s="169"/>
      <c r="J105" s="116">
        <f>AK134</f>
        <v>0</v>
      </c>
      <c r="K105" s="169"/>
      <c r="L105" s="199">
        <v>35000</v>
      </c>
      <c r="M105" s="204"/>
      <c r="N105" s="116">
        <f>AO134</f>
        <v>35000</v>
      </c>
      <c r="O105" s="15"/>
      <c r="P105" s="116">
        <f>AS134</f>
        <v>35000</v>
      </c>
      <c r="Q105" s="116"/>
      <c r="R105" s="116">
        <v>257781.86</v>
      </c>
      <c r="S105" s="116"/>
      <c r="T105" s="114">
        <v>30000</v>
      </c>
      <c r="U105" s="112"/>
      <c r="V105" s="114">
        <v>30000</v>
      </c>
      <c r="W105" s="112"/>
      <c r="X105" s="114">
        <v>30000</v>
      </c>
      <c r="Y105" s="112"/>
      <c r="AB105" s="7">
        <f t="shared" si="17"/>
        <v>0</v>
      </c>
      <c r="AG105" s="235"/>
      <c r="AH105" s="236"/>
      <c r="AI105" s="145"/>
      <c r="AJ105" s="145" t="s">
        <v>289</v>
      </c>
      <c r="AK105" s="146">
        <v>9567.73</v>
      </c>
      <c r="AL105" s="189"/>
      <c r="AM105" s="189"/>
      <c r="AN105" s="145" t="s">
        <v>289</v>
      </c>
      <c r="AO105" s="146">
        <v>9481.19</v>
      </c>
      <c r="AP105" s="145"/>
      <c r="AR105" s="150" t="s">
        <v>289</v>
      </c>
      <c r="AS105" s="151">
        <f t="shared" si="15"/>
        <v>4903.41</v>
      </c>
      <c r="AT105" s="222"/>
      <c r="AW105" s="150" t="s">
        <v>283</v>
      </c>
      <c r="AX105" s="151">
        <v>22720.1</v>
      </c>
      <c r="AY105" s="239"/>
      <c r="AZ105" s="78"/>
      <c r="BA105" s="78"/>
      <c r="BB105" s="145" t="s">
        <v>289</v>
      </c>
      <c r="BC105" s="146">
        <v>4903.41</v>
      </c>
      <c r="BD105" s="186"/>
      <c r="BE105" s="146">
        <v>4903.41</v>
      </c>
      <c r="BF105" s="189">
        <f t="shared" si="12"/>
        <v>0</v>
      </c>
      <c r="BG105" s="218"/>
      <c r="BH105" s="189"/>
      <c r="BI105" s="145" t="s">
        <v>289</v>
      </c>
      <c r="BJ105" s="146">
        <v>6352.11</v>
      </c>
      <c r="BK105" s="150" t="s">
        <v>289</v>
      </c>
      <c r="BL105" s="151">
        <f t="shared" si="16"/>
        <v>0</v>
      </c>
      <c r="BR105" s="145" t="s">
        <v>289</v>
      </c>
      <c r="BS105" s="146">
        <v>8281.19</v>
      </c>
      <c r="CA105" s="145" t="s">
        <v>289</v>
      </c>
      <c r="CB105" s="146">
        <v>9567.73</v>
      </c>
    </row>
    <row r="106" spans="1:80" ht="24" thickBot="1" thickTop="1">
      <c r="A106" s="7">
        <f t="shared" si="14"/>
        <v>101</v>
      </c>
      <c r="B106" s="27" t="s">
        <v>132</v>
      </c>
      <c r="C106" s="183"/>
      <c r="D106" s="117">
        <f>SUM(D76:D80)+D84+SUM(D85:D105)</f>
        <v>1230760</v>
      </c>
      <c r="E106" s="183"/>
      <c r="F106" s="117">
        <f>SUM(F76:F80)+F84+SUM(F85:F105)</f>
        <v>1210204</v>
      </c>
      <c r="G106" s="117"/>
      <c r="H106" s="117">
        <f>SUM(H76:H80)+H84+SUM(H85:H105)</f>
        <v>918957</v>
      </c>
      <c r="I106" s="165"/>
      <c r="J106" s="119">
        <f>SUM(J76:J80)+J84+SUM(J85:J105)</f>
        <v>663714.7300000001</v>
      </c>
      <c r="K106" s="165"/>
      <c r="L106" s="184">
        <f>SUM(L76:L80)+L84+SUM(L85:L105)</f>
        <v>1180458</v>
      </c>
      <c r="M106" s="184"/>
      <c r="N106" s="119">
        <f>SUM(N76:N80)+N84+SUM(N85:N105)</f>
        <v>1155930.0699999996</v>
      </c>
      <c r="O106" s="27"/>
      <c r="P106" s="119">
        <f>SUM(P76:P80)+P84+SUM(P85:P105)</f>
        <v>1259854.14</v>
      </c>
      <c r="Q106" s="119"/>
      <c r="R106" s="119">
        <f>SUM(R76:R80)+R84+SUM(R85:R105)</f>
        <v>1448338.02</v>
      </c>
      <c r="S106" s="119"/>
      <c r="T106" s="117">
        <f>SUM(T76:T80)+T84+SUM(T85:T105)</f>
        <v>1397876.05</v>
      </c>
      <c r="U106" s="118"/>
      <c r="V106" s="117">
        <f>SUM(V76:V80)+V84+SUM(V85:V105)</f>
        <v>1342243.48</v>
      </c>
      <c r="W106" s="118"/>
      <c r="X106" s="117">
        <f>SUM(X76:X80)+X84+SUM(X85:X105)</f>
        <v>1276654.55</v>
      </c>
      <c r="Y106" s="118"/>
      <c r="AB106" s="7">
        <f t="shared" si="17"/>
        <v>20556</v>
      </c>
      <c r="AG106" s="235"/>
      <c r="AH106" s="236"/>
      <c r="AI106" s="145"/>
      <c r="AJ106" s="145" t="s">
        <v>290</v>
      </c>
      <c r="AK106" s="146">
        <v>0</v>
      </c>
      <c r="AL106" s="189"/>
      <c r="AM106" s="189"/>
      <c r="AN106" s="145" t="s">
        <v>290</v>
      </c>
      <c r="AO106" s="146">
        <v>0</v>
      </c>
      <c r="AP106" s="145"/>
      <c r="AR106" s="150" t="s">
        <v>290</v>
      </c>
      <c r="AS106" s="151">
        <f t="shared" si="15"/>
        <v>0</v>
      </c>
      <c r="AT106" s="222"/>
      <c r="AW106" s="150" t="s">
        <v>284</v>
      </c>
      <c r="AX106" s="151">
        <v>51315.77</v>
      </c>
      <c r="AY106" s="239"/>
      <c r="AZ106" s="78"/>
      <c r="BA106" s="78"/>
      <c r="BB106" s="145" t="s">
        <v>290</v>
      </c>
      <c r="BC106" s="146">
        <v>0</v>
      </c>
      <c r="BD106" s="186"/>
      <c r="BE106" s="146">
        <v>0</v>
      </c>
      <c r="BF106" s="189">
        <f t="shared" si="12"/>
        <v>0</v>
      </c>
      <c r="BG106" s="218"/>
      <c r="BH106" s="189"/>
      <c r="BI106" s="145" t="s">
        <v>290</v>
      </c>
      <c r="BJ106" s="146">
        <v>0</v>
      </c>
      <c r="BK106" s="150" t="s">
        <v>290</v>
      </c>
      <c r="BL106" s="151">
        <f t="shared" si="16"/>
        <v>0</v>
      </c>
      <c r="BR106" s="145" t="s">
        <v>290</v>
      </c>
      <c r="BS106" s="146">
        <v>0</v>
      </c>
      <c r="CA106" s="145" t="s">
        <v>290</v>
      </c>
      <c r="CB106" s="146">
        <v>0</v>
      </c>
    </row>
    <row r="107" spans="1:80" ht="24" thickTop="1">
      <c r="A107" s="7">
        <f t="shared" si="14"/>
        <v>102</v>
      </c>
      <c r="B107" s="8" t="s">
        <v>148</v>
      </c>
      <c r="C107" s="169"/>
      <c r="D107" s="114"/>
      <c r="E107" s="169"/>
      <c r="F107" s="114"/>
      <c r="G107" s="114"/>
      <c r="H107" s="114"/>
      <c r="I107" s="164"/>
      <c r="J107" s="116"/>
      <c r="K107" s="164"/>
      <c r="L107" s="202"/>
      <c r="M107" s="203"/>
      <c r="N107" s="116"/>
      <c r="O107" s="8"/>
      <c r="P107" s="116"/>
      <c r="Q107" s="116"/>
      <c r="R107" s="116"/>
      <c r="S107" s="116"/>
      <c r="T107" s="114"/>
      <c r="U107" s="112"/>
      <c r="V107" s="114"/>
      <c r="W107" s="112"/>
      <c r="X107" s="114"/>
      <c r="Y107" s="112"/>
      <c r="AB107" s="7">
        <f t="shared" si="17"/>
        <v>0</v>
      </c>
      <c r="AG107" s="235"/>
      <c r="AH107" s="236"/>
      <c r="AI107" s="145"/>
      <c r="AJ107" s="145" t="s">
        <v>291</v>
      </c>
      <c r="AK107" s="146">
        <v>0</v>
      </c>
      <c r="AL107" s="189"/>
      <c r="AM107" s="189"/>
      <c r="AN107" s="145" t="s">
        <v>291</v>
      </c>
      <c r="AO107" s="146">
        <v>0</v>
      </c>
      <c r="AP107" s="145"/>
      <c r="AR107" s="150" t="s">
        <v>291</v>
      </c>
      <c r="AS107" s="151">
        <f t="shared" si="15"/>
        <v>0</v>
      </c>
      <c r="AT107" s="222"/>
      <c r="AW107" s="150" t="s">
        <v>285</v>
      </c>
      <c r="AX107" s="151">
        <v>0</v>
      </c>
      <c r="AY107" s="239"/>
      <c r="AZ107" s="78"/>
      <c r="BA107" s="78"/>
      <c r="BB107" s="145" t="s">
        <v>291</v>
      </c>
      <c r="BC107" s="146">
        <v>0</v>
      </c>
      <c r="BD107" s="186"/>
      <c r="BE107" s="146">
        <v>0</v>
      </c>
      <c r="BF107" s="189">
        <f t="shared" si="12"/>
        <v>0</v>
      </c>
      <c r="BG107" s="218"/>
      <c r="BH107" s="189"/>
      <c r="BI107" s="145" t="s">
        <v>291</v>
      </c>
      <c r="BJ107" s="146">
        <v>0</v>
      </c>
      <c r="BK107" s="150" t="s">
        <v>291</v>
      </c>
      <c r="BL107" s="151">
        <f t="shared" si="16"/>
        <v>0</v>
      </c>
      <c r="BR107" s="145" t="s">
        <v>291</v>
      </c>
      <c r="BS107" s="146">
        <v>0</v>
      </c>
      <c r="CA107" s="145" t="s">
        <v>291</v>
      </c>
      <c r="CB107" s="146">
        <v>0</v>
      </c>
    </row>
    <row r="108" spans="1:80" ht="22.5">
      <c r="A108" s="7">
        <f t="shared" si="14"/>
        <v>103</v>
      </c>
      <c r="B108" s="3" t="s">
        <v>49</v>
      </c>
      <c r="C108" s="174"/>
      <c r="D108" s="114">
        <v>67000</v>
      </c>
      <c r="E108" s="174"/>
      <c r="F108" s="114">
        <v>67000</v>
      </c>
      <c r="G108" s="114"/>
      <c r="H108" s="114">
        <f>67000-3348-3338-1376-766-(760*4)</f>
        <v>55132</v>
      </c>
      <c r="I108" s="166"/>
      <c r="J108" s="116">
        <f>AK86</f>
        <v>51954.6</v>
      </c>
      <c r="K108" s="166"/>
      <c r="L108" s="199">
        <v>63000</v>
      </c>
      <c r="M108" s="204"/>
      <c r="N108" s="116">
        <f>AO86</f>
        <v>79061.89</v>
      </c>
      <c r="O108" s="3"/>
      <c r="P108" s="116">
        <f>AS86</f>
        <v>73492.33</v>
      </c>
      <c r="Q108" s="116"/>
      <c r="R108" s="116">
        <v>79939.29</v>
      </c>
      <c r="S108" s="116"/>
      <c r="T108" s="114">
        <v>73503.11</v>
      </c>
      <c r="U108" s="112"/>
      <c r="V108" s="114">
        <v>55179.28</v>
      </c>
      <c r="W108" s="112"/>
      <c r="X108" s="114">
        <v>54933.3</v>
      </c>
      <c r="Y108" s="112"/>
      <c r="AB108" s="7">
        <f t="shared" si="17"/>
        <v>0</v>
      </c>
      <c r="AG108" s="235"/>
      <c r="AH108" s="236"/>
      <c r="AI108" s="145"/>
      <c r="AJ108" s="145" t="s">
        <v>292</v>
      </c>
      <c r="AK108" s="146">
        <v>816.19</v>
      </c>
      <c r="AL108" s="189"/>
      <c r="AM108" s="189"/>
      <c r="AN108" s="145" t="s">
        <v>292</v>
      </c>
      <c r="AO108" s="146">
        <v>954.06</v>
      </c>
      <c r="AP108" s="145"/>
      <c r="AR108" s="150" t="s">
        <v>292</v>
      </c>
      <c r="AS108" s="151">
        <f t="shared" si="15"/>
        <v>5705.7</v>
      </c>
      <c r="AT108" s="222"/>
      <c r="AW108" s="150" t="s">
        <v>286</v>
      </c>
      <c r="AX108" s="151"/>
      <c r="AY108" s="239"/>
      <c r="AZ108" s="78"/>
      <c r="BA108" s="78"/>
      <c r="BB108" s="145" t="s">
        <v>292</v>
      </c>
      <c r="BC108" s="146">
        <v>5705.7</v>
      </c>
      <c r="BD108" s="186"/>
      <c r="BE108" s="146">
        <v>5705.7</v>
      </c>
      <c r="BF108" s="189">
        <f t="shared" si="12"/>
        <v>0</v>
      </c>
      <c r="BG108" s="218"/>
      <c r="BH108" s="189"/>
      <c r="BI108" s="145" t="s">
        <v>292</v>
      </c>
      <c r="BJ108" s="146">
        <v>954.06</v>
      </c>
      <c r="BK108" s="150" t="s">
        <v>292</v>
      </c>
      <c r="BL108" s="151">
        <f t="shared" si="16"/>
        <v>0</v>
      </c>
      <c r="BR108" s="145" t="s">
        <v>292</v>
      </c>
      <c r="BS108" s="146">
        <v>954.06</v>
      </c>
      <c r="CA108" s="145" t="s">
        <v>292</v>
      </c>
      <c r="CB108" s="146">
        <v>816.19</v>
      </c>
    </row>
    <row r="109" spans="1:80" ht="23.25">
      <c r="A109" s="7">
        <f t="shared" si="14"/>
        <v>104</v>
      </c>
      <c r="B109" s="9" t="s">
        <v>12</v>
      </c>
      <c r="C109" s="164"/>
      <c r="D109" s="114">
        <v>1300</v>
      </c>
      <c r="E109" s="164"/>
      <c r="F109" s="114">
        <v>2000</v>
      </c>
      <c r="G109" s="114"/>
      <c r="H109" s="114">
        <v>2000</v>
      </c>
      <c r="I109" s="176"/>
      <c r="J109" s="116">
        <f>AK87</f>
        <v>283.1</v>
      </c>
      <c r="K109" s="176"/>
      <c r="L109" s="199">
        <v>2200</v>
      </c>
      <c r="M109" s="204"/>
      <c r="N109" s="116">
        <f>AO87</f>
        <v>1224.97</v>
      </c>
      <c r="O109" s="9"/>
      <c r="P109" s="116">
        <f>AS87</f>
        <v>1770.78</v>
      </c>
      <c r="Q109" s="116"/>
      <c r="R109" s="116">
        <v>1944.5</v>
      </c>
      <c r="S109" s="116"/>
      <c r="T109" s="114">
        <v>2131.11</v>
      </c>
      <c r="U109" s="112"/>
      <c r="V109" s="114">
        <v>2409.66</v>
      </c>
      <c r="W109" s="112"/>
      <c r="X109" s="114">
        <v>2270.93</v>
      </c>
      <c r="Y109" s="112"/>
      <c r="AB109" s="7">
        <f t="shared" si="17"/>
        <v>-700</v>
      </c>
      <c r="AG109" s="235"/>
      <c r="AH109" s="236"/>
      <c r="AI109" s="145"/>
      <c r="AJ109" s="145" t="s">
        <v>293</v>
      </c>
      <c r="AK109" s="146">
        <v>15138.97</v>
      </c>
      <c r="AL109" s="189"/>
      <c r="AM109" s="189"/>
      <c r="AN109" s="145" t="s">
        <v>293</v>
      </c>
      <c r="AO109" s="146">
        <v>47651.5</v>
      </c>
      <c r="AP109" s="145"/>
      <c r="AR109" s="150" t="s">
        <v>293</v>
      </c>
      <c r="AS109" s="151">
        <f t="shared" si="15"/>
        <v>46404.04</v>
      </c>
      <c r="AT109" s="222"/>
      <c r="AW109" s="150" t="s">
        <v>287</v>
      </c>
      <c r="AX109" s="151">
        <v>-6879.08</v>
      </c>
      <c r="AY109" s="239"/>
      <c r="AZ109" s="78"/>
      <c r="BA109" s="78"/>
      <c r="BB109" s="145" t="s">
        <v>293</v>
      </c>
      <c r="BC109" s="146">
        <v>46404.04</v>
      </c>
      <c r="BD109" s="186"/>
      <c r="BE109" s="146">
        <v>46404.04</v>
      </c>
      <c r="BF109" s="189">
        <f t="shared" si="12"/>
        <v>0</v>
      </c>
      <c r="BG109" s="218"/>
      <c r="BH109" s="189"/>
      <c r="BI109" s="145" t="s">
        <v>293</v>
      </c>
      <c r="BJ109" s="146">
        <v>33839.51</v>
      </c>
      <c r="BK109" s="150" t="s">
        <v>293</v>
      </c>
      <c r="BL109" s="151">
        <f t="shared" si="16"/>
        <v>0</v>
      </c>
      <c r="BR109" s="145" t="s">
        <v>293</v>
      </c>
      <c r="BS109" s="146">
        <v>33839.51</v>
      </c>
      <c r="CA109" s="145" t="s">
        <v>293</v>
      </c>
      <c r="CB109" s="146">
        <v>15138.97</v>
      </c>
    </row>
    <row r="110" spans="1:80" ht="22.5">
      <c r="A110" s="7">
        <f t="shared" si="14"/>
        <v>105</v>
      </c>
      <c r="B110" s="2" t="s">
        <v>200</v>
      </c>
      <c r="C110" s="166"/>
      <c r="D110" s="114">
        <v>1800</v>
      </c>
      <c r="E110" s="166"/>
      <c r="F110" s="114">
        <v>1800</v>
      </c>
      <c r="G110" s="114"/>
      <c r="H110" s="114">
        <v>1800</v>
      </c>
      <c r="I110" s="172"/>
      <c r="J110" s="116">
        <f>AK88+AK89</f>
        <v>0.43</v>
      </c>
      <c r="K110" s="172"/>
      <c r="L110" s="199">
        <v>3000</v>
      </c>
      <c r="M110" s="204"/>
      <c r="N110" s="116">
        <f>AO88+AO89</f>
        <v>13.5</v>
      </c>
      <c r="O110" s="2"/>
      <c r="P110" s="116">
        <f>AS88+AS89</f>
        <v>4.19</v>
      </c>
      <c r="Q110" s="116"/>
      <c r="R110" s="116">
        <v>1796.23</v>
      </c>
      <c r="S110" s="116"/>
      <c r="T110" s="114">
        <f>0.3+3705.17</f>
        <v>3705.4700000000003</v>
      </c>
      <c r="U110" s="112"/>
      <c r="V110" s="114">
        <v>11929.66</v>
      </c>
      <c r="W110" s="112"/>
      <c r="X110" s="114">
        <v>67365.1</v>
      </c>
      <c r="Y110" s="112"/>
      <c r="AB110" s="7">
        <f t="shared" si="17"/>
        <v>0</v>
      </c>
      <c r="AG110" s="235"/>
      <c r="AH110" s="236"/>
      <c r="AI110" s="145"/>
      <c r="AJ110" s="145" t="s">
        <v>294</v>
      </c>
      <c r="AK110" s="146">
        <v>4716.75</v>
      </c>
      <c r="AL110" s="189"/>
      <c r="AM110" s="189"/>
      <c r="AN110" s="145" t="s">
        <v>294</v>
      </c>
      <c r="AO110" s="146">
        <v>8232.29</v>
      </c>
      <c r="AP110" s="145"/>
      <c r="AR110" s="150" t="s">
        <v>294</v>
      </c>
      <c r="AS110" s="151">
        <f t="shared" si="15"/>
        <v>9300.28</v>
      </c>
      <c r="AT110" s="222"/>
      <c r="AW110" s="150" t="s">
        <v>288</v>
      </c>
      <c r="AX110" s="151">
        <v>15130.88</v>
      </c>
      <c r="AY110" s="239"/>
      <c r="AZ110" s="78"/>
      <c r="BA110" s="78"/>
      <c r="BB110" s="145" t="s">
        <v>294</v>
      </c>
      <c r="BC110" s="146">
        <v>9300.28</v>
      </c>
      <c r="BD110" s="186"/>
      <c r="BE110" s="146">
        <v>9300.28</v>
      </c>
      <c r="BF110" s="189">
        <f t="shared" si="12"/>
        <v>0</v>
      </c>
      <c r="BG110" s="218"/>
      <c r="BH110" s="189"/>
      <c r="BI110" s="145" t="s">
        <v>294</v>
      </c>
      <c r="BJ110" s="146">
        <v>7860.89</v>
      </c>
      <c r="BK110" s="150" t="s">
        <v>294</v>
      </c>
      <c r="BL110" s="151">
        <f t="shared" si="16"/>
        <v>0</v>
      </c>
      <c r="BR110" s="145" t="s">
        <v>294</v>
      </c>
      <c r="BS110" s="146">
        <v>7860.89</v>
      </c>
      <c r="CA110" s="145" t="s">
        <v>294</v>
      </c>
      <c r="CB110" s="146">
        <v>4716.75</v>
      </c>
    </row>
    <row r="111" spans="1:80" ht="22.5">
      <c r="A111" s="7">
        <f t="shared" si="14"/>
        <v>106</v>
      </c>
      <c r="B111" s="3" t="s">
        <v>79</v>
      </c>
      <c r="C111" s="176"/>
      <c r="D111" s="114">
        <v>500</v>
      </c>
      <c r="E111" s="176"/>
      <c r="F111" s="114">
        <v>750</v>
      </c>
      <c r="G111" s="114"/>
      <c r="H111" s="114">
        <v>750</v>
      </c>
      <c r="I111" s="166"/>
      <c r="J111" s="116">
        <f>AK90</f>
        <v>0.3</v>
      </c>
      <c r="K111" s="166"/>
      <c r="L111" s="199">
        <v>1000</v>
      </c>
      <c r="M111" s="204"/>
      <c r="N111" s="116">
        <f>AO90</f>
        <v>26.8</v>
      </c>
      <c r="O111" s="3"/>
      <c r="P111" s="116">
        <f>AS90</f>
        <v>282.7</v>
      </c>
      <c r="Q111" s="116"/>
      <c r="R111" s="116">
        <v>734.36</v>
      </c>
      <c r="S111" s="116"/>
      <c r="T111" s="114">
        <f>214.18</f>
        <v>214.18</v>
      </c>
      <c r="U111" s="112"/>
      <c r="V111" s="114">
        <v>983.66</v>
      </c>
      <c r="W111" s="112"/>
      <c r="X111" s="114">
        <v>817.1</v>
      </c>
      <c r="Y111" s="112"/>
      <c r="AB111" s="7">
        <f t="shared" si="17"/>
        <v>-250</v>
      </c>
      <c r="AG111" s="235"/>
      <c r="AH111" s="236"/>
      <c r="AI111" s="145"/>
      <c r="AJ111" s="145" t="s">
        <v>295</v>
      </c>
      <c r="AK111" s="146">
        <v>3002.02</v>
      </c>
      <c r="AL111" s="189"/>
      <c r="AM111" s="189"/>
      <c r="AN111" s="145" t="s">
        <v>295</v>
      </c>
      <c r="AO111" s="146">
        <v>2847.89</v>
      </c>
      <c r="AP111" s="145"/>
      <c r="AR111" s="150" t="s">
        <v>295</v>
      </c>
      <c r="AS111" s="151">
        <f t="shared" si="15"/>
        <v>3566.99</v>
      </c>
      <c r="AT111" s="222"/>
      <c r="AW111" s="150" t="s">
        <v>289</v>
      </c>
      <c r="AX111" s="151">
        <v>4903.41</v>
      </c>
      <c r="AY111" s="239"/>
      <c r="AZ111" s="78"/>
      <c r="BA111" s="78"/>
      <c r="BB111" s="145" t="s">
        <v>295</v>
      </c>
      <c r="BC111" s="146">
        <v>3566.99</v>
      </c>
      <c r="BD111" s="186"/>
      <c r="BE111" s="146">
        <v>3566.99</v>
      </c>
      <c r="BF111" s="189">
        <f t="shared" si="12"/>
        <v>0</v>
      </c>
      <c r="BG111" s="218"/>
      <c r="BH111" s="189"/>
      <c r="BI111" s="145" t="s">
        <v>295</v>
      </c>
      <c r="BJ111" s="146">
        <v>3147.89</v>
      </c>
      <c r="BK111" s="150" t="s">
        <v>295</v>
      </c>
      <c r="BL111" s="151">
        <f t="shared" si="16"/>
        <v>0</v>
      </c>
      <c r="BR111" s="145" t="s">
        <v>295</v>
      </c>
      <c r="BS111" s="146">
        <v>2847.89</v>
      </c>
      <c r="CA111" s="145" t="s">
        <v>295</v>
      </c>
      <c r="CB111" s="146">
        <v>3002.02</v>
      </c>
    </row>
    <row r="112" spans="1:80" ht="22.5">
      <c r="A112" s="7">
        <f t="shared" si="14"/>
        <v>107</v>
      </c>
      <c r="B112" s="3" t="s">
        <v>13</v>
      </c>
      <c r="C112" s="172"/>
      <c r="D112" s="114">
        <v>600</v>
      </c>
      <c r="E112" s="172"/>
      <c r="F112" s="114">
        <v>600</v>
      </c>
      <c r="G112" s="114"/>
      <c r="H112" s="281">
        <v>600</v>
      </c>
      <c r="I112" s="282"/>
      <c r="J112" s="284">
        <f>AK92</f>
        <v>64319.08</v>
      </c>
      <c r="K112" s="166"/>
      <c r="L112" s="199">
        <v>500</v>
      </c>
      <c r="M112" s="204"/>
      <c r="N112" s="122">
        <f>AO92</f>
        <v>1.13</v>
      </c>
      <c r="O112" s="3"/>
      <c r="P112" s="122">
        <f>AS92</f>
        <v>2444.42</v>
      </c>
      <c r="Q112" s="122"/>
      <c r="R112" s="122">
        <v>114.22</v>
      </c>
      <c r="S112" s="122"/>
      <c r="T112" s="114">
        <v>505.33</v>
      </c>
      <c r="U112" s="112"/>
      <c r="V112" s="114">
        <v>437.64</v>
      </c>
      <c r="W112" s="112"/>
      <c r="X112" s="114">
        <v>135.21</v>
      </c>
      <c r="Y112" s="112"/>
      <c r="AB112" s="7">
        <f t="shared" si="17"/>
        <v>0</v>
      </c>
      <c r="AG112" s="235"/>
      <c r="AH112" s="236"/>
      <c r="AI112" s="145"/>
      <c r="AJ112" s="145" t="s">
        <v>296</v>
      </c>
      <c r="AK112" s="146">
        <v>60493.63</v>
      </c>
      <c r="AL112" s="189"/>
      <c r="AM112" s="189"/>
      <c r="AN112" s="145" t="s">
        <v>296</v>
      </c>
      <c r="AO112" s="146">
        <v>136770.73</v>
      </c>
      <c r="AP112" s="145"/>
      <c r="AR112" s="150" t="s">
        <v>296</v>
      </c>
      <c r="AS112" s="151">
        <f t="shared" si="15"/>
        <v>157540.19</v>
      </c>
      <c r="AT112" s="222"/>
      <c r="AW112" s="150" t="s">
        <v>290</v>
      </c>
      <c r="AX112" s="151">
        <v>0</v>
      </c>
      <c r="AY112" s="239"/>
      <c r="AZ112" s="78"/>
      <c r="BA112" s="78"/>
      <c r="BB112" s="145" t="s">
        <v>296</v>
      </c>
      <c r="BC112" s="146">
        <v>157540.19</v>
      </c>
      <c r="BD112" s="186"/>
      <c r="BE112" s="146">
        <v>157540.19</v>
      </c>
      <c r="BF112" s="189">
        <f t="shared" si="12"/>
        <v>0</v>
      </c>
      <c r="BG112" s="218"/>
      <c r="BH112" s="189"/>
      <c r="BI112" s="145" t="s">
        <v>296</v>
      </c>
      <c r="BJ112" s="146">
        <v>82424.81</v>
      </c>
      <c r="BK112" s="150" t="s">
        <v>296</v>
      </c>
      <c r="BL112" s="151">
        <f t="shared" si="16"/>
        <v>0</v>
      </c>
      <c r="BR112" s="145" t="s">
        <v>296</v>
      </c>
      <c r="BS112" s="146">
        <v>83070.48</v>
      </c>
      <c r="CA112" s="145" t="s">
        <v>296</v>
      </c>
      <c r="CB112" s="146">
        <v>60493.63</v>
      </c>
    </row>
    <row r="113" spans="1:80" ht="22.5">
      <c r="A113" s="7">
        <f t="shared" si="14"/>
        <v>108</v>
      </c>
      <c r="B113" s="3" t="s">
        <v>25</v>
      </c>
      <c r="C113" s="166"/>
      <c r="D113" s="114">
        <v>800</v>
      </c>
      <c r="E113" s="166"/>
      <c r="F113" s="114">
        <v>1200</v>
      </c>
      <c r="G113" s="114"/>
      <c r="H113" s="114">
        <v>400</v>
      </c>
      <c r="I113" s="166"/>
      <c r="J113" s="116">
        <f>AK93</f>
        <v>0</v>
      </c>
      <c r="K113" s="166"/>
      <c r="L113" s="199">
        <v>600</v>
      </c>
      <c r="M113" s="204"/>
      <c r="N113" s="116">
        <f>AO93</f>
        <v>1026.74</v>
      </c>
      <c r="O113" s="3"/>
      <c r="P113" s="116">
        <f>AS93</f>
        <v>1984.05</v>
      </c>
      <c r="Q113" s="116"/>
      <c r="R113" s="116">
        <v>331.06</v>
      </c>
      <c r="S113" s="116"/>
      <c r="T113" s="114">
        <v>472.36</v>
      </c>
      <c r="U113" s="112"/>
      <c r="V113" s="114">
        <v>288.08</v>
      </c>
      <c r="W113" s="112"/>
      <c r="X113" s="114">
        <v>844.35</v>
      </c>
      <c r="Y113" s="112"/>
      <c r="AB113" s="7">
        <f t="shared" si="17"/>
        <v>-400</v>
      </c>
      <c r="AG113" s="235"/>
      <c r="AH113" s="236"/>
      <c r="AI113" s="145"/>
      <c r="AJ113" s="145" t="s">
        <v>297</v>
      </c>
      <c r="AK113" s="146"/>
      <c r="AL113" s="189"/>
      <c r="AM113" s="189"/>
      <c r="AN113" s="145" t="s">
        <v>297</v>
      </c>
      <c r="AO113" s="146"/>
      <c r="AP113" s="145"/>
      <c r="AR113" s="150" t="s">
        <v>297</v>
      </c>
      <c r="AS113" s="151">
        <f t="shared" si="15"/>
        <v>0</v>
      </c>
      <c r="AT113" s="222"/>
      <c r="AW113" s="150" t="s">
        <v>291</v>
      </c>
      <c r="AX113" s="151">
        <v>0</v>
      </c>
      <c r="AY113" s="239"/>
      <c r="AZ113" s="78"/>
      <c r="BA113" s="78"/>
      <c r="BB113" s="145" t="s">
        <v>297</v>
      </c>
      <c r="BC113" s="146"/>
      <c r="BD113" s="186"/>
      <c r="BE113" s="146"/>
      <c r="BF113" s="189">
        <f t="shared" si="12"/>
        <v>0</v>
      </c>
      <c r="BG113" s="218"/>
      <c r="BH113" s="189"/>
      <c r="BI113" s="145" t="s">
        <v>297</v>
      </c>
      <c r="BJ113" s="146"/>
      <c r="BK113" s="150" t="s">
        <v>297</v>
      </c>
      <c r="BL113" s="151">
        <f t="shared" si="16"/>
        <v>0</v>
      </c>
      <c r="BR113" s="145" t="s">
        <v>297</v>
      </c>
      <c r="BS113" s="146"/>
      <c r="CA113" s="145" t="s">
        <v>297</v>
      </c>
      <c r="CB113" s="146"/>
    </row>
    <row r="114" spans="1:80" ht="22.5">
      <c r="A114" s="7">
        <f t="shared" si="14"/>
        <v>109</v>
      </c>
      <c r="B114" s="3" t="s">
        <v>26</v>
      </c>
      <c r="C114" s="166"/>
      <c r="D114" s="114">
        <v>1000</v>
      </c>
      <c r="E114" s="166"/>
      <c r="F114" s="114">
        <v>1700</v>
      </c>
      <c r="G114" s="114"/>
      <c r="H114" s="114">
        <v>400</v>
      </c>
      <c r="I114" s="166"/>
      <c r="J114" s="116">
        <f>AK94</f>
        <v>125.14</v>
      </c>
      <c r="K114" s="166"/>
      <c r="L114" s="199">
        <v>1700</v>
      </c>
      <c r="M114" s="204"/>
      <c r="N114" s="116">
        <f>AO94</f>
        <v>2615.44</v>
      </c>
      <c r="O114" s="3"/>
      <c r="P114" s="116">
        <f>AS94</f>
        <v>1725.21</v>
      </c>
      <c r="Q114" s="116"/>
      <c r="R114" s="116">
        <v>2292.74</v>
      </c>
      <c r="S114" s="116"/>
      <c r="T114" s="114">
        <v>1394.48</v>
      </c>
      <c r="U114" s="112"/>
      <c r="V114" s="114">
        <v>1010.29</v>
      </c>
      <c r="W114" s="112"/>
      <c r="X114" s="114">
        <v>1047.21</v>
      </c>
      <c r="Y114" s="112"/>
      <c r="AB114" s="7">
        <f t="shared" si="17"/>
        <v>-700</v>
      </c>
      <c r="AG114" s="235"/>
      <c r="AH114" s="236"/>
      <c r="AI114" s="145"/>
      <c r="AJ114" s="145" t="s">
        <v>298</v>
      </c>
      <c r="AK114" s="146">
        <v>8114.75</v>
      </c>
      <c r="AL114" s="189"/>
      <c r="AM114" s="189"/>
      <c r="AN114" s="145" t="s">
        <v>298</v>
      </c>
      <c r="AO114" s="146">
        <v>30009.89</v>
      </c>
      <c r="AP114" s="145"/>
      <c r="AR114" s="150" t="s">
        <v>298</v>
      </c>
      <c r="AS114" s="151">
        <f t="shared" si="15"/>
        <v>37736.98</v>
      </c>
      <c r="AT114" s="222"/>
      <c r="AW114" s="150" t="s">
        <v>292</v>
      </c>
      <c r="AX114" s="151">
        <v>5705.7</v>
      </c>
      <c r="AY114" s="239"/>
      <c r="AZ114" s="78"/>
      <c r="BA114" s="78"/>
      <c r="BB114" s="145" t="s">
        <v>298</v>
      </c>
      <c r="BC114" s="146">
        <v>37736.98</v>
      </c>
      <c r="BD114" s="186"/>
      <c r="BE114" s="146">
        <v>37736.98</v>
      </c>
      <c r="BF114" s="189">
        <f t="shared" si="12"/>
        <v>0</v>
      </c>
      <c r="BG114" s="218"/>
      <c r="BH114" s="189"/>
      <c r="BI114" s="145" t="s">
        <v>298</v>
      </c>
      <c r="BJ114" s="146">
        <v>30004.7</v>
      </c>
      <c r="BK114" s="150" t="s">
        <v>298</v>
      </c>
      <c r="BL114" s="151">
        <f t="shared" si="16"/>
        <v>0</v>
      </c>
      <c r="BR114" s="145" t="s">
        <v>298</v>
      </c>
      <c r="BS114" s="146">
        <v>30004.7</v>
      </c>
      <c r="CA114" s="145" t="s">
        <v>298</v>
      </c>
      <c r="CB114" s="146">
        <v>8114.75</v>
      </c>
    </row>
    <row r="115" spans="1:80" ht="22.5">
      <c r="A115" s="7">
        <f t="shared" si="14"/>
        <v>110</v>
      </c>
      <c r="B115" s="3" t="s">
        <v>27</v>
      </c>
      <c r="C115" s="166"/>
      <c r="D115" s="114">
        <v>14000</v>
      </c>
      <c r="E115" s="166"/>
      <c r="F115" s="114">
        <v>14000</v>
      </c>
      <c r="G115" s="114"/>
      <c r="H115" s="114">
        <v>8000</v>
      </c>
      <c r="I115" s="166"/>
      <c r="J115" s="116">
        <f>AK95</f>
        <v>4770.41</v>
      </c>
      <c r="K115" s="166"/>
      <c r="L115" s="199">
        <v>9000</v>
      </c>
      <c r="M115" s="204"/>
      <c r="N115" s="116">
        <f>AO95</f>
        <v>5371.26</v>
      </c>
      <c r="O115" s="3"/>
      <c r="P115" s="116">
        <f>AS95</f>
        <v>20241.92</v>
      </c>
      <c r="Q115" s="116"/>
      <c r="R115" s="116">
        <v>12132.36</v>
      </c>
      <c r="S115" s="116"/>
      <c r="T115" s="114">
        <v>3625.43</v>
      </c>
      <c r="U115" s="112"/>
      <c r="V115" s="114">
        <v>4354.31</v>
      </c>
      <c r="W115" s="112"/>
      <c r="X115" s="114">
        <v>10976.66</v>
      </c>
      <c r="Y115" s="112"/>
      <c r="AB115" s="7">
        <f t="shared" si="17"/>
        <v>0</v>
      </c>
      <c r="AG115" s="235"/>
      <c r="AH115" s="236"/>
      <c r="AI115" s="145"/>
      <c r="AJ115" s="145" t="s">
        <v>299</v>
      </c>
      <c r="AK115" s="146"/>
      <c r="AL115" s="189"/>
      <c r="AM115" s="189"/>
      <c r="AN115" s="145" t="s">
        <v>299</v>
      </c>
      <c r="AO115" s="146"/>
      <c r="AP115" s="145"/>
      <c r="AQ115" s="145"/>
      <c r="AR115" s="150" t="s">
        <v>299</v>
      </c>
      <c r="AS115" s="151">
        <f t="shared" si="15"/>
        <v>0</v>
      </c>
      <c r="AT115" s="222"/>
      <c r="AW115" s="150" t="s">
        <v>293</v>
      </c>
      <c r="AX115" s="151">
        <v>46404.04</v>
      </c>
      <c r="AY115" s="239"/>
      <c r="AZ115" s="78"/>
      <c r="BA115" s="78"/>
      <c r="BB115" s="145" t="s">
        <v>299</v>
      </c>
      <c r="BC115" s="146"/>
      <c r="BD115" s="186"/>
      <c r="BE115" s="146"/>
      <c r="BF115" s="189">
        <f t="shared" si="12"/>
        <v>0</v>
      </c>
      <c r="BG115" s="218"/>
      <c r="BH115" s="189"/>
      <c r="BI115" s="145" t="s">
        <v>299</v>
      </c>
      <c r="BJ115" s="146"/>
      <c r="BK115" s="150" t="s">
        <v>299</v>
      </c>
      <c r="BL115" s="151">
        <f t="shared" si="16"/>
        <v>0</v>
      </c>
      <c r="BR115" s="145" t="s">
        <v>299</v>
      </c>
      <c r="BS115" s="146"/>
      <c r="CA115" s="145" t="s">
        <v>299</v>
      </c>
      <c r="CB115" s="146"/>
    </row>
    <row r="116" spans="1:80" ht="22.5">
      <c r="A116" s="7">
        <f t="shared" si="14"/>
        <v>111</v>
      </c>
      <c r="B116" s="3" t="s">
        <v>78</v>
      </c>
      <c r="C116" s="166"/>
      <c r="D116" s="114">
        <v>4000</v>
      </c>
      <c r="E116" s="166"/>
      <c r="F116" s="114">
        <v>4000</v>
      </c>
      <c r="G116" s="114"/>
      <c r="H116" s="114">
        <v>2500</v>
      </c>
      <c r="I116" s="166"/>
      <c r="J116" s="116">
        <f>AK91</f>
        <v>1179.26</v>
      </c>
      <c r="K116" s="166"/>
      <c r="L116" s="199">
        <v>6000</v>
      </c>
      <c r="M116" s="204"/>
      <c r="N116" s="116">
        <f>AO91</f>
        <v>3917.08</v>
      </c>
      <c r="O116" s="3"/>
      <c r="P116" s="116">
        <f>AS91</f>
        <v>1955.51</v>
      </c>
      <c r="Q116" s="116"/>
      <c r="R116" s="116">
        <v>9085.15</v>
      </c>
      <c r="S116" s="116"/>
      <c r="T116" s="114">
        <f>1490.27</f>
        <v>1490.27</v>
      </c>
      <c r="U116" s="112"/>
      <c r="V116" s="114">
        <v>1262.68</v>
      </c>
      <c r="W116" s="112"/>
      <c r="X116" s="114">
        <v>12793.14</v>
      </c>
      <c r="Y116" s="112"/>
      <c r="AB116" s="7">
        <f t="shared" si="17"/>
        <v>0</v>
      </c>
      <c r="AG116" s="235"/>
      <c r="AH116" s="236"/>
      <c r="AI116" s="145"/>
      <c r="AJ116" s="145" t="s">
        <v>300</v>
      </c>
      <c r="AK116" s="146">
        <v>2065.86</v>
      </c>
      <c r="AL116" s="189"/>
      <c r="AM116" s="189"/>
      <c r="AN116" s="145" t="s">
        <v>300</v>
      </c>
      <c r="AO116" s="146">
        <v>10778.49</v>
      </c>
      <c r="AP116" s="145"/>
      <c r="AQ116" s="145"/>
      <c r="AR116" s="150" t="s">
        <v>300</v>
      </c>
      <c r="AS116" s="151">
        <f t="shared" si="15"/>
        <v>12237.77</v>
      </c>
      <c r="AT116" s="222"/>
      <c r="AW116" s="150" t="s">
        <v>294</v>
      </c>
      <c r="AX116" s="151">
        <v>9300.28</v>
      </c>
      <c r="AY116" s="239"/>
      <c r="AZ116" s="78"/>
      <c r="BA116" s="78"/>
      <c r="BB116" s="145" t="s">
        <v>300</v>
      </c>
      <c r="BC116" s="146">
        <v>12237.77</v>
      </c>
      <c r="BD116" s="186"/>
      <c r="BE116" s="146">
        <v>12237.77</v>
      </c>
      <c r="BF116" s="189">
        <f t="shared" si="12"/>
        <v>0</v>
      </c>
      <c r="BG116" s="218"/>
      <c r="BH116" s="189"/>
      <c r="BI116" s="145" t="s">
        <v>300</v>
      </c>
      <c r="BJ116" s="146">
        <v>10500.6</v>
      </c>
      <c r="BK116" s="150" t="s">
        <v>300</v>
      </c>
      <c r="BL116" s="151">
        <f t="shared" si="16"/>
        <v>0</v>
      </c>
      <c r="BR116" s="145" t="s">
        <v>300</v>
      </c>
      <c r="BS116" s="146">
        <v>10500.6</v>
      </c>
      <c r="CA116" s="145" t="s">
        <v>300</v>
      </c>
      <c r="CB116" s="146">
        <v>2065.86</v>
      </c>
    </row>
    <row r="117" spans="1:80" ht="22.5">
      <c r="A117" s="7">
        <f t="shared" si="14"/>
        <v>112</v>
      </c>
      <c r="B117" s="3" t="s">
        <v>14</v>
      </c>
      <c r="C117" s="166"/>
      <c r="D117" s="114">
        <v>19000</v>
      </c>
      <c r="E117" s="166"/>
      <c r="F117" s="114">
        <v>19000</v>
      </c>
      <c r="G117" s="114"/>
      <c r="H117" s="114">
        <v>19000</v>
      </c>
      <c r="I117" s="166"/>
      <c r="J117" s="124">
        <f>AK96</f>
        <v>5740.02</v>
      </c>
      <c r="K117" s="166"/>
      <c r="L117" s="199">
        <v>16500</v>
      </c>
      <c r="M117" s="204"/>
      <c r="N117" s="124">
        <f>AO96</f>
        <v>39569.54</v>
      </c>
      <c r="O117" s="3"/>
      <c r="P117" s="124">
        <f>AS96</f>
        <v>19982.04</v>
      </c>
      <c r="Q117" s="124"/>
      <c r="R117" s="124">
        <v>12652.1</v>
      </c>
      <c r="S117" s="124"/>
      <c r="T117" s="114">
        <f>33626.2</f>
        <v>33626.2</v>
      </c>
      <c r="U117" s="112"/>
      <c r="V117" s="114">
        <v>34065.79</v>
      </c>
      <c r="W117" s="112"/>
      <c r="X117" s="114">
        <v>21236.18</v>
      </c>
      <c r="Y117" s="112"/>
      <c r="AB117" s="7">
        <f t="shared" si="17"/>
        <v>0</v>
      </c>
      <c r="AG117" s="235"/>
      <c r="AH117" s="236"/>
      <c r="AI117" s="145"/>
      <c r="AJ117" s="145" t="s">
        <v>301</v>
      </c>
      <c r="AK117" s="146">
        <v>0</v>
      </c>
      <c r="AL117" s="189"/>
      <c r="AM117" s="189"/>
      <c r="AN117" s="145" t="s">
        <v>301</v>
      </c>
      <c r="AO117" s="146">
        <v>0</v>
      </c>
      <c r="AP117" s="145"/>
      <c r="AQ117" s="145"/>
      <c r="AR117" s="150" t="s">
        <v>301</v>
      </c>
      <c r="AS117" s="151">
        <f t="shared" si="15"/>
        <v>0</v>
      </c>
      <c r="AT117" s="222"/>
      <c r="AW117" s="150" t="s">
        <v>295</v>
      </c>
      <c r="AX117" s="151">
        <v>3566.99</v>
      </c>
      <c r="AY117" s="239"/>
      <c r="AZ117" s="78"/>
      <c r="BA117" s="78"/>
      <c r="BB117" s="145" t="s">
        <v>301</v>
      </c>
      <c r="BC117" s="146">
        <v>0</v>
      </c>
      <c r="BD117" s="186"/>
      <c r="BE117" s="146">
        <v>0</v>
      </c>
      <c r="BF117" s="189">
        <f t="shared" si="12"/>
        <v>0</v>
      </c>
      <c r="BG117" s="218"/>
      <c r="BH117" s="189"/>
      <c r="BI117" s="145" t="s">
        <v>301</v>
      </c>
      <c r="BJ117" s="146">
        <v>0</v>
      </c>
      <c r="BK117" s="150" t="s">
        <v>301</v>
      </c>
      <c r="BL117" s="151">
        <f t="shared" si="16"/>
        <v>0</v>
      </c>
      <c r="BR117" s="145" t="s">
        <v>301</v>
      </c>
      <c r="BS117" s="146">
        <v>0</v>
      </c>
      <c r="CA117" s="145" t="s">
        <v>301</v>
      </c>
      <c r="CB117" s="146">
        <v>0</v>
      </c>
    </row>
    <row r="118" spans="1:80" ht="22.5">
      <c r="A118" s="7">
        <f t="shared" si="14"/>
        <v>113</v>
      </c>
      <c r="B118" s="3" t="s">
        <v>149</v>
      </c>
      <c r="C118" s="166"/>
      <c r="D118" s="114">
        <v>11000</v>
      </c>
      <c r="E118" s="166"/>
      <c r="F118" s="114">
        <v>11000</v>
      </c>
      <c r="G118" s="114"/>
      <c r="H118" s="114">
        <v>11000</v>
      </c>
      <c r="I118" s="166"/>
      <c r="J118" s="124">
        <f>AK97</f>
        <v>1967.39</v>
      </c>
      <c r="K118" s="166"/>
      <c r="L118" s="199">
        <v>10000</v>
      </c>
      <c r="M118" s="204"/>
      <c r="N118" s="124">
        <f>AO97</f>
        <v>11679.92</v>
      </c>
      <c r="O118" s="3"/>
      <c r="P118" s="124">
        <f>AS97</f>
        <v>11127.51</v>
      </c>
      <c r="Q118" s="124"/>
      <c r="R118" s="124">
        <v>11038.94</v>
      </c>
      <c r="S118" s="124"/>
      <c r="T118" s="114">
        <v>10123.25</v>
      </c>
      <c r="U118" s="112"/>
      <c r="V118" s="114">
        <v>8921.88</v>
      </c>
      <c r="W118" s="112"/>
      <c r="X118" s="114">
        <v>9646.74</v>
      </c>
      <c r="Y118" s="112"/>
      <c r="AB118" s="7">
        <f t="shared" si="17"/>
        <v>0</v>
      </c>
      <c r="AG118" s="235"/>
      <c r="AH118" s="236"/>
      <c r="AI118" s="145"/>
      <c r="AJ118" s="145" t="s">
        <v>302</v>
      </c>
      <c r="AK118" s="146">
        <v>0</v>
      </c>
      <c r="AL118" s="189"/>
      <c r="AM118" s="189"/>
      <c r="AN118" s="145" t="s">
        <v>302</v>
      </c>
      <c r="AO118" s="146">
        <v>0</v>
      </c>
      <c r="AP118" s="145"/>
      <c r="AQ118" s="145"/>
      <c r="AR118" s="150" t="s">
        <v>302</v>
      </c>
      <c r="AS118" s="151">
        <f aca="true" t="shared" si="18" ref="AS118:AS140">BC118</f>
        <v>0</v>
      </c>
      <c r="AT118" s="222"/>
      <c r="AW118" s="150" t="s">
        <v>296</v>
      </c>
      <c r="AX118" s="151">
        <v>157540.19</v>
      </c>
      <c r="AY118" s="239"/>
      <c r="AZ118" s="78"/>
      <c r="BA118" s="78"/>
      <c r="BB118" s="145" t="s">
        <v>302</v>
      </c>
      <c r="BC118" s="146">
        <v>0</v>
      </c>
      <c r="BD118" s="186"/>
      <c r="BE118" s="146">
        <v>0</v>
      </c>
      <c r="BF118" s="189">
        <f t="shared" si="12"/>
        <v>0</v>
      </c>
      <c r="BG118" s="218"/>
      <c r="BH118" s="189"/>
      <c r="BI118" s="145" t="s">
        <v>302</v>
      </c>
      <c r="BJ118" s="146">
        <v>0</v>
      </c>
      <c r="BK118" s="150" t="s">
        <v>302</v>
      </c>
      <c r="BL118" s="151">
        <f aca="true" t="shared" si="19" ref="BL118:BL140">BV118</f>
        <v>0</v>
      </c>
      <c r="BR118" s="145" t="s">
        <v>302</v>
      </c>
      <c r="BS118" s="146">
        <v>0</v>
      </c>
      <c r="CA118" s="145" t="s">
        <v>302</v>
      </c>
      <c r="CB118" s="146">
        <v>0</v>
      </c>
    </row>
    <row r="119" spans="1:80" ht="22.5">
      <c r="A119" s="7">
        <f t="shared" si="14"/>
        <v>114</v>
      </c>
      <c r="B119" s="3" t="s">
        <v>150</v>
      </c>
      <c r="C119" s="166"/>
      <c r="D119" s="114">
        <v>12000</v>
      </c>
      <c r="E119" s="166"/>
      <c r="F119" s="114">
        <v>10000</v>
      </c>
      <c r="G119" s="114"/>
      <c r="H119" s="114">
        <v>10000</v>
      </c>
      <c r="I119" s="166"/>
      <c r="J119" s="124">
        <f>AK98</f>
        <v>-7152.41</v>
      </c>
      <c r="K119" s="166"/>
      <c r="L119" s="199">
        <v>1200</v>
      </c>
      <c r="M119" s="204"/>
      <c r="N119" s="124">
        <f>AO98</f>
        <v>18873.7</v>
      </c>
      <c r="O119" s="3"/>
      <c r="P119" s="124">
        <f>AS98</f>
        <v>13915.86</v>
      </c>
      <c r="Q119" s="124"/>
      <c r="R119" s="124">
        <v>1081.68</v>
      </c>
      <c r="S119" s="124"/>
      <c r="T119" s="114">
        <v>959.74</v>
      </c>
      <c r="U119" s="112"/>
      <c r="V119" s="114">
        <v>1086.17</v>
      </c>
      <c r="W119" s="112"/>
      <c r="X119" s="114">
        <v>4602.87</v>
      </c>
      <c r="Y119" s="112"/>
      <c r="AB119" s="7">
        <f t="shared" si="17"/>
        <v>2000</v>
      </c>
      <c r="AG119" s="235"/>
      <c r="AH119" s="236"/>
      <c r="AI119" s="145"/>
      <c r="AJ119" s="145" t="s">
        <v>303</v>
      </c>
      <c r="AK119" s="146">
        <v>0</v>
      </c>
      <c r="AL119" s="189"/>
      <c r="AM119" s="189"/>
      <c r="AN119" s="145" t="s">
        <v>303</v>
      </c>
      <c r="AO119" s="146">
        <v>2.4</v>
      </c>
      <c r="AP119" s="145"/>
      <c r="AQ119" s="145"/>
      <c r="AR119" s="150" t="s">
        <v>303</v>
      </c>
      <c r="AS119" s="151">
        <f t="shared" si="18"/>
        <v>3</v>
      </c>
      <c r="AT119" s="222"/>
      <c r="AW119" s="150" t="s">
        <v>297</v>
      </c>
      <c r="AX119" s="151"/>
      <c r="AY119" s="239"/>
      <c r="AZ119" s="78"/>
      <c r="BA119" s="78"/>
      <c r="BB119" s="145" t="s">
        <v>303</v>
      </c>
      <c r="BC119" s="146">
        <v>3</v>
      </c>
      <c r="BD119" s="186"/>
      <c r="BE119" s="146">
        <v>3</v>
      </c>
      <c r="BF119" s="189">
        <f t="shared" si="12"/>
        <v>0</v>
      </c>
      <c r="BG119" s="218"/>
      <c r="BH119" s="189"/>
      <c r="BI119" s="145" t="s">
        <v>303</v>
      </c>
      <c r="BJ119" s="146">
        <v>2.4</v>
      </c>
      <c r="BK119" s="150" t="s">
        <v>303</v>
      </c>
      <c r="BL119" s="151">
        <f t="shared" si="19"/>
        <v>0</v>
      </c>
      <c r="BR119" s="145" t="s">
        <v>303</v>
      </c>
      <c r="BS119" s="146">
        <v>2.4</v>
      </c>
      <c r="CA119" s="145" t="s">
        <v>303</v>
      </c>
      <c r="CB119" s="146">
        <v>0</v>
      </c>
    </row>
    <row r="120" spans="1:80" ht="22.5">
      <c r="A120" s="7">
        <f t="shared" si="14"/>
        <v>115</v>
      </c>
      <c r="B120" s="9" t="s">
        <v>23</v>
      </c>
      <c r="C120" s="166"/>
      <c r="D120" s="114"/>
      <c r="E120" s="166"/>
      <c r="F120" s="114"/>
      <c r="G120" s="114"/>
      <c r="H120" s="114"/>
      <c r="I120" s="176"/>
      <c r="J120" s="116"/>
      <c r="K120" s="176"/>
      <c r="L120" s="199"/>
      <c r="M120" s="204"/>
      <c r="N120" s="116"/>
      <c r="O120" s="9"/>
      <c r="P120" s="116"/>
      <c r="Q120" s="116"/>
      <c r="R120" s="116"/>
      <c r="S120" s="116"/>
      <c r="T120" s="114"/>
      <c r="U120" s="112"/>
      <c r="V120" s="114"/>
      <c r="W120" s="112"/>
      <c r="X120" s="114"/>
      <c r="Y120" s="112"/>
      <c r="AB120" s="7">
        <f t="shared" si="17"/>
        <v>0</v>
      </c>
      <c r="AE120" s="267" t="s">
        <v>424</v>
      </c>
      <c r="AF120" s="223">
        <v>2019</v>
      </c>
      <c r="AG120" s="242" t="s">
        <v>414</v>
      </c>
      <c r="AH120" s="236"/>
      <c r="AI120" s="145"/>
      <c r="AJ120" s="145" t="s">
        <v>304</v>
      </c>
      <c r="AK120" s="146">
        <v>0</v>
      </c>
      <c r="AL120" s="189"/>
      <c r="AM120" s="189"/>
      <c r="AN120" s="145" t="s">
        <v>304</v>
      </c>
      <c r="AO120" s="146">
        <v>4240.41</v>
      </c>
      <c r="AP120" s="145"/>
      <c r="AQ120" s="145"/>
      <c r="AR120" s="150" t="s">
        <v>304</v>
      </c>
      <c r="AS120" s="151">
        <f t="shared" si="18"/>
        <v>4445.06</v>
      </c>
      <c r="AT120" s="222"/>
      <c r="AW120" s="150" t="s">
        <v>298</v>
      </c>
      <c r="AX120" s="151">
        <v>37736.98</v>
      </c>
      <c r="AY120" s="239"/>
      <c r="AZ120" s="78"/>
      <c r="BA120" s="78"/>
      <c r="BB120" s="145" t="s">
        <v>304</v>
      </c>
      <c r="BC120" s="146">
        <v>4445.06</v>
      </c>
      <c r="BD120" s="186"/>
      <c r="BE120" s="146">
        <v>4445.06</v>
      </c>
      <c r="BF120" s="189">
        <f t="shared" si="12"/>
        <v>0</v>
      </c>
      <c r="BG120" s="218"/>
      <c r="BH120" s="189"/>
      <c r="BI120" s="145" t="s">
        <v>304</v>
      </c>
      <c r="BJ120" s="146">
        <v>3475.41</v>
      </c>
      <c r="BK120" s="150" t="s">
        <v>304</v>
      </c>
      <c r="BL120" s="151">
        <f t="shared" si="19"/>
        <v>0</v>
      </c>
      <c r="BR120" s="145" t="s">
        <v>304</v>
      </c>
      <c r="BS120" s="146">
        <v>3475.41</v>
      </c>
      <c r="CA120" s="145" t="s">
        <v>304</v>
      </c>
      <c r="CB120" s="146">
        <v>0</v>
      </c>
    </row>
    <row r="121" spans="1:80" ht="22.5">
      <c r="A121" s="7">
        <f t="shared" si="14"/>
        <v>116</v>
      </c>
      <c r="B121" s="3" t="s">
        <v>42</v>
      </c>
      <c r="C121" s="166"/>
      <c r="D121" s="114">
        <v>21500</v>
      </c>
      <c r="E121" s="166"/>
      <c r="F121" s="114">
        <v>20000</v>
      </c>
      <c r="G121" s="114"/>
      <c r="H121" s="114">
        <v>20000</v>
      </c>
      <c r="I121" s="166"/>
      <c r="J121" s="147">
        <f>AE127</f>
        <v>14123.63</v>
      </c>
      <c r="K121" s="166"/>
      <c r="L121" s="199">
        <v>22000</v>
      </c>
      <c r="M121" s="204"/>
      <c r="N121" s="147">
        <f>AF127</f>
        <v>17079.33</v>
      </c>
      <c r="O121" s="3"/>
      <c r="P121" s="147">
        <f>AG127</f>
        <v>16917.74</v>
      </c>
      <c r="Q121" s="116"/>
      <c r="R121" s="116">
        <v>21010.99</v>
      </c>
      <c r="S121" s="116"/>
      <c r="T121" s="114">
        <v>22141.99</v>
      </c>
      <c r="U121" s="112"/>
      <c r="V121" s="114">
        <v>27225.27</v>
      </c>
      <c r="W121" s="112"/>
      <c r="X121" s="114">
        <v>23937.05</v>
      </c>
      <c r="Y121" s="112"/>
      <c r="AB121" s="7">
        <f t="shared" si="17"/>
        <v>1500</v>
      </c>
      <c r="AD121" s="145" t="s">
        <v>204</v>
      </c>
      <c r="AE121" s="146">
        <v>24033.75</v>
      </c>
      <c r="AF121" s="261">
        <v>30635.68</v>
      </c>
      <c r="AG121" s="146">
        <v>41737.41</v>
      </c>
      <c r="AH121" s="145"/>
      <c r="AI121" s="145"/>
      <c r="AJ121" s="145" t="s">
        <v>305</v>
      </c>
      <c r="AK121" s="146">
        <v>0</v>
      </c>
      <c r="AL121" s="189"/>
      <c r="AM121" s="189"/>
      <c r="AN121" s="145" t="s">
        <v>305</v>
      </c>
      <c r="AO121" s="146">
        <v>0</v>
      </c>
      <c r="AP121" s="145"/>
      <c r="AQ121" s="145"/>
      <c r="AR121" s="150" t="s">
        <v>305</v>
      </c>
      <c r="AS121" s="151">
        <f t="shared" si="18"/>
        <v>672.49</v>
      </c>
      <c r="AT121" s="222"/>
      <c r="AW121" s="150" t="s">
        <v>299</v>
      </c>
      <c r="AX121" s="151"/>
      <c r="AY121" s="239"/>
      <c r="AZ121" s="78"/>
      <c r="BA121" s="78"/>
      <c r="BB121" s="145" t="s">
        <v>305</v>
      </c>
      <c r="BC121" s="146">
        <v>672.49</v>
      </c>
      <c r="BD121" s="186"/>
      <c r="BE121" s="146">
        <v>672.49</v>
      </c>
      <c r="BF121" s="189">
        <f t="shared" si="12"/>
        <v>0</v>
      </c>
      <c r="BG121" s="218"/>
      <c r="BH121" s="189"/>
      <c r="BI121" s="145" t="s">
        <v>305</v>
      </c>
      <c r="BJ121" s="146">
        <v>0</v>
      </c>
      <c r="BK121" s="150" t="s">
        <v>305</v>
      </c>
      <c r="BL121" s="151">
        <f t="shared" si="19"/>
        <v>0</v>
      </c>
      <c r="BR121" s="145" t="s">
        <v>305</v>
      </c>
      <c r="BS121" s="146">
        <v>0</v>
      </c>
      <c r="CA121" s="145" t="s">
        <v>305</v>
      </c>
      <c r="CB121" s="146">
        <v>0</v>
      </c>
    </row>
    <row r="122" spans="1:80" ht="22.5">
      <c r="A122" s="7">
        <f t="shared" si="14"/>
        <v>117</v>
      </c>
      <c r="B122" s="2" t="s">
        <v>43</v>
      </c>
      <c r="C122" s="176"/>
      <c r="D122" s="114">
        <v>3700</v>
      </c>
      <c r="E122" s="176"/>
      <c r="F122" s="114">
        <v>3700</v>
      </c>
      <c r="G122" s="114"/>
      <c r="H122" s="114">
        <v>3700</v>
      </c>
      <c r="I122" s="172"/>
      <c r="J122" s="147">
        <f>AE125</f>
        <v>3204.36</v>
      </c>
      <c r="K122" s="172"/>
      <c r="L122" s="199">
        <v>3500</v>
      </c>
      <c r="M122" s="204"/>
      <c r="N122" s="147">
        <f>AF125</f>
        <v>3887.96</v>
      </c>
      <c r="O122" s="2"/>
      <c r="P122" s="147">
        <f>AG125</f>
        <v>3705.72</v>
      </c>
      <c r="Q122" s="116"/>
      <c r="R122" s="116">
        <v>3592.2</v>
      </c>
      <c r="S122" s="116"/>
      <c r="T122" s="114">
        <v>3302.84</v>
      </c>
      <c r="U122" s="112"/>
      <c r="V122" s="114">
        <v>3351.16</v>
      </c>
      <c r="W122" s="112"/>
      <c r="X122" s="114">
        <v>3342.26</v>
      </c>
      <c r="Y122" s="112"/>
      <c r="AB122" s="7">
        <f t="shared" si="17"/>
        <v>0</v>
      </c>
      <c r="AD122" s="145" t="s">
        <v>205</v>
      </c>
      <c r="AE122" s="146">
        <v>0</v>
      </c>
      <c r="AF122" s="261">
        <v>6046.84</v>
      </c>
      <c r="AG122" s="146">
        <v>5845.68</v>
      </c>
      <c r="AH122" s="145"/>
      <c r="AI122" s="145"/>
      <c r="AJ122" s="145" t="s">
        <v>306</v>
      </c>
      <c r="AK122" s="146">
        <v>91.4</v>
      </c>
      <c r="AL122" s="189"/>
      <c r="AM122" s="189"/>
      <c r="AN122" s="145" t="s">
        <v>306</v>
      </c>
      <c r="AO122" s="146">
        <v>5756.81</v>
      </c>
      <c r="AP122" s="145"/>
      <c r="AQ122" s="145"/>
      <c r="AR122" s="150" t="s">
        <v>306</v>
      </c>
      <c r="AS122" s="151">
        <f t="shared" si="18"/>
        <v>8369.51</v>
      </c>
      <c r="AT122" s="222"/>
      <c r="AW122" s="150" t="s">
        <v>300</v>
      </c>
      <c r="AX122" s="151">
        <v>12237.77</v>
      </c>
      <c r="AY122" s="239"/>
      <c r="AZ122" s="78"/>
      <c r="BA122" s="78"/>
      <c r="BB122" s="145" t="s">
        <v>306</v>
      </c>
      <c r="BC122" s="146">
        <v>8369.51</v>
      </c>
      <c r="BD122" s="186"/>
      <c r="BE122" s="146">
        <v>8369.51</v>
      </c>
      <c r="BF122" s="189">
        <f t="shared" si="12"/>
        <v>0</v>
      </c>
      <c r="BG122" s="218"/>
      <c r="BH122" s="189"/>
      <c r="BI122" s="145" t="s">
        <v>306</v>
      </c>
      <c r="BJ122" s="146">
        <v>4991.81</v>
      </c>
      <c r="BK122" s="150" t="s">
        <v>306</v>
      </c>
      <c r="BL122" s="151">
        <f t="shared" si="19"/>
        <v>0</v>
      </c>
      <c r="BR122" s="145" t="s">
        <v>306</v>
      </c>
      <c r="BS122" s="146">
        <v>4991.81</v>
      </c>
      <c r="CA122" s="145" t="s">
        <v>306</v>
      </c>
      <c r="CB122" s="146">
        <v>91.4</v>
      </c>
    </row>
    <row r="123" spans="1:80" ht="22.5">
      <c r="A123" s="7">
        <f t="shared" si="14"/>
        <v>118</v>
      </c>
      <c r="B123" s="3" t="s">
        <v>82</v>
      </c>
      <c r="C123" s="166"/>
      <c r="D123" s="114">
        <v>5000</v>
      </c>
      <c r="E123" s="166"/>
      <c r="F123" s="114">
        <v>4000</v>
      </c>
      <c r="G123" s="114"/>
      <c r="H123" s="114">
        <v>6000</v>
      </c>
      <c r="I123" s="166"/>
      <c r="J123" s="116">
        <f>AK103+AK110</f>
        <v>13036.46</v>
      </c>
      <c r="K123" s="166"/>
      <c r="L123" s="199">
        <v>5000</v>
      </c>
      <c r="M123" s="204"/>
      <c r="N123" s="116">
        <f>AO103+AO110</f>
        <v>10241.480000000001</v>
      </c>
      <c r="O123" s="3"/>
      <c r="P123" s="116">
        <f>AS103+AS110</f>
        <v>2421.2000000000007</v>
      </c>
      <c r="Q123" s="116"/>
      <c r="R123" s="116">
        <v>9251.029999999999</v>
      </c>
      <c r="S123" s="116"/>
      <c r="T123" s="114">
        <f>-5150.19+13702.71</f>
        <v>8552.52</v>
      </c>
      <c r="U123" s="112"/>
      <c r="V123" s="114">
        <f>-9500.25+11049.39</f>
        <v>1549.1399999999994</v>
      </c>
      <c r="W123" s="112"/>
      <c r="X123" s="114">
        <f>-9173.88+6197.2</f>
        <v>-2976.6799999999994</v>
      </c>
      <c r="Y123" s="112"/>
      <c r="AB123" s="7">
        <f t="shared" si="17"/>
        <v>1000</v>
      </c>
      <c r="AD123" s="145" t="s">
        <v>206</v>
      </c>
      <c r="AE123" s="146">
        <v>0</v>
      </c>
      <c r="AF123" s="261">
        <v>0</v>
      </c>
      <c r="AG123" s="146">
        <v>1556</v>
      </c>
      <c r="AH123" s="145"/>
      <c r="AI123" s="145"/>
      <c r="AJ123" s="145" t="s">
        <v>307</v>
      </c>
      <c r="AK123" s="146">
        <v>0</v>
      </c>
      <c r="AL123" s="189"/>
      <c r="AM123" s="189"/>
      <c r="AN123" s="145" t="s">
        <v>307</v>
      </c>
      <c r="AO123" s="146">
        <v>779.46</v>
      </c>
      <c r="AP123" s="145"/>
      <c r="AR123" s="150" t="s">
        <v>307</v>
      </c>
      <c r="AS123" s="151">
        <f t="shared" si="18"/>
        <v>206.04</v>
      </c>
      <c r="AT123" s="222"/>
      <c r="AW123" s="150" t="s">
        <v>301</v>
      </c>
      <c r="AX123" s="151">
        <v>0</v>
      </c>
      <c r="AY123" s="239"/>
      <c r="AZ123" s="78"/>
      <c r="BA123" s="78"/>
      <c r="BB123" s="145" t="s">
        <v>307</v>
      </c>
      <c r="BC123" s="146">
        <v>206.04</v>
      </c>
      <c r="BD123" s="186"/>
      <c r="BE123" s="146">
        <v>206.04</v>
      </c>
      <c r="BF123" s="189">
        <f t="shared" si="12"/>
        <v>0</v>
      </c>
      <c r="BG123" s="218"/>
      <c r="BH123" s="189"/>
      <c r="BI123" s="145" t="s">
        <v>307</v>
      </c>
      <c r="BJ123" s="146">
        <v>779.46</v>
      </c>
      <c r="BK123" s="150" t="s">
        <v>307</v>
      </c>
      <c r="BL123" s="151">
        <f t="shared" si="19"/>
        <v>0</v>
      </c>
      <c r="BR123" s="145" t="s">
        <v>307</v>
      </c>
      <c r="BS123" s="146">
        <v>779.46</v>
      </c>
      <c r="CA123" s="145" t="s">
        <v>307</v>
      </c>
      <c r="CB123" s="146">
        <v>0</v>
      </c>
    </row>
    <row r="124" spans="1:80" ht="22.5">
      <c r="A124" s="7">
        <f t="shared" si="14"/>
        <v>119</v>
      </c>
      <c r="B124" s="3" t="s">
        <v>126</v>
      </c>
      <c r="C124" s="172"/>
      <c r="D124" s="114">
        <v>4000</v>
      </c>
      <c r="E124" s="172"/>
      <c r="F124" s="114">
        <v>4000</v>
      </c>
      <c r="G124" s="114"/>
      <c r="H124" s="114">
        <v>4000</v>
      </c>
      <c r="I124" s="166"/>
      <c r="J124" s="116">
        <f>AK129</f>
        <v>155.59</v>
      </c>
      <c r="K124" s="166"/>
      <c r="L124" s="199">
        <v>3000</v>
      </c>
      <c r="M124" s="204"/>
      <c r="N124" s="116">
        <f>AO129</f>
        <v>1174.8</v>
      </c>
      <c r="O124" s="3"/>
      <c r="P124" s="116">
        <f>AS129</f>
        <v>8405.23</v>
      </c>
      <c r="Q124" s="116"/>
      <c r="R124" s="116">
        <v>1216.43</v>
      </c>
      <c r="S124" s="116"/>
      <c r="T124" s="114">
        <v>5347.36</v>
      </c>
      <c r="U124" s="112"/>
      <c r="V124" s="114">
        <v>5131.01</v>
      </c>
      <c r="W124" s="112"/>
      <c r="X124" s="114">
        <v>3923.13</v>
      </c>
      <c r="Y124" s="112"/>
      <c r="AB124" s="7">
        <f t="shared" si="17"/>
        <v>0</v>
      </c>
      <c r="AD124" s="145" t="s">
        <v>207</v>
      </c>
      <c r="AE124" s="146">
        <v>0</v>
      </c>
      <c r="AF124" s="261">
        <v>53700.25</v>
      </c>
      <c r="AG124" s="146">
        <v>54974.84</v>
      </c>
      <c r="AH124" s="145"/>
      <c r="AI124" s="145"/>
      <c r="AJ124" s="145" t="s">
        <v>308</v>
      </c>
      <c r="AK124" s="146">
        <v>6431.8</v>
      </c>
      <c r="AL124" s="189"/>
      <c r="AM124" s="189"/>
      <c r="AN124" s="145" t="s">
        <v>308</v>
      </c>
      <c r="AO124" s="146">
        <v>10652.54</v>
      </c>
      <c r="AP124" s="145"/>
      <c r="AR124" s="150" t="s">
        <v>308</v>
      </c>
      <c r="AS124" s="151">
        <f t="shared" si="18"/>
        <v>12320.12</v>
      </c>
      <c r="AT124" s="222"/>
      <c r="AW124" s="150" t="s">
        <v>302</v>
      </c>
      <c r="AX124" s="151">
        <v>0</v>
      </c>
      <c r="AY124" s="239"/>
      <c r="AZ124" s="78"/>
      <c r="BA124" s="78"/>
      <c r="BB124" s="145" t="s">
        <v>308</v>
      </c>
      <c r="BC124" s="146">
        <v>12320.12</v>
      </c>
      <c r="BD124" s="186"/>
      <c r="BE124" s="146">
        <v>12320.12</v>
      </c>
      <c r="BF124" s="189">
        <f t="shared" si="12"/>
        <v>0</v>
      </c>
      <c r="BG124" s="218"/>
      <c r="BH124" s="189"/>
      <c r="BI124" s="145" t="s">
        <v>308</v>
      </c>
      <c r="BJ124" s="146">
        <v>10614.22</v>
      </c>
      <c r="BK124" s="150" t="s">
        <v>308</v>
      </c>
      <c r="BL124" s="151">
        <f t="shared" si="19"/>
        <v>0</v>
      </c>
      <c r="BR124" s="145" t="s">
        <v>308</v>
      </c>
      <c r="BS124" s="146">
        <v>10614.22</v>
      </c>
      <c r="CA124" s="145" t="s">
        <v>308</v>
      </c>
      <c r="CB124" s="146">
        <v>6431.8</v>
      </c>
    </row>
    <row r="125" spans="1:80" ht="22.5">
      <c r="A125" s="7">
        <f t="shared" si="14"/>
        <v>120</v>
      </c>
      <c r="B125" s="3" t="s">
        <v>28</v>
      </c>
      <c r="C125" s="166"/>
      <c r="D125" s="114">
        <v>17000</v>
      </c>
      <c r="E125" s="166"/>
      <c r="F125" s="114">
        <v>17000</v>
      </c>
      <c r="G125" s="114"/>
      <c r="H125" s="114">
        <v>17000</v>
      </c>
      <c r="I125" s="166"/>
      <c r="J125" s="116">
        <f>AK104</f>
        <v>10213.78</v>
      </c>
      <c r="K125" s="166"/>
      <c r="L125" s="199">
        <v>17500</v>
      </c>
      <c r="M125" s="204"/>
      <c r="N125" s="116">
        <f>AO104</f>
        <v>11917.09</v>
      </c>
      <c r="O125" s="3"/>
      <c r="P125" s="116">
        <f>AS104</f>
        <v>15130.88</v>
      </c>
      <c r="Q125" s="116"/>
      <c r="R125" s="116">
        <v>18458.34</v>
      </c>
      <c r="S125" s="116"/>
      <c r="T125" s="114">
        <v>17024.4</v>
      </c>
      <c r="U125" s="112"/>
      <c r="V125" s="114">
        <v>17600.88</v>
      </c>
      <c r="W125" s="112"/>
      <c r="X125" s="114">
        <v>17394.07</v>
      </c>
      <c r="Y125" s="112"/>
      <c r="AB125" s="7">
        <f t="shared" si="17"/>
        <v>0</v>
      </c>
      <c r="AD125" s="145" t="s">
        <v>208</v>
      </c>
      <c r="AE125" s="146">
        <v>3204.36</v>
      </c>
      <c r="AF125" s="261">
        <v>3887.96</v>
      </c>
      <c r="AG125" s="146">
        <v>3705.72</v>
      </c>
      <c r="AH125" s="145"/>
      <c r="AI125" s="145"/>
      <c r="AJ125" s="145" t="s">
        <v>309</v>
      </c>
      <c r="AK125" s="146">
        <v>0</v>
      </c>
      <c r="AL125" s="189"/>
      <c r="AM125" s="189"/>
      <c r="AN125" s="145" t="s">
        <v>309</v>
      </c>
      <c r="AO125" s="146">
        <v>15.6</v>
      </c>
      <c r="AP125" s="145"/>
      <c r="AR125" s="150" t="s">
        <v>309</v>
      </c>
      <c r="AS125" s="151">
        <f t="shared" si="18"/>
        <v>0.9</v>
      </c>
      <c r="AT125" s="222"/>
      <c r="AW125" s="150" t="s">
        <v>303</v>
      </c>
      <c r="AX125" s="151">
        <v>3</v>
      </c>
      <c r="AY125" s="239"/>
      <c r="AZ125" s="78"/>
      <c r="BA125" s="78"/>
      <c r="BB125" s="145" t="s">
        <v>309</v>
      </c>
      <c r="BC125" s="146">
        <v>0.9</v>
      </c>
      <c r="BD125" s="186"/>
      <c r="BE125" s="146">
        <v>0.9</v>
      </c>
      <c r="BF125" s="189">
        <f t="shared" si="12"/>
        <v>0</v>
      </c>
      <c r="BG125" s="218"/>
      <c r="BH125" s="189"/>
      <c r="BI125" s="145" t="s">
        <v>309</v>
      </c>
      <c r="BJ125" s="146">
        <v>15.6</v>
      </c>
      <c r="BK125" s="150" t="s">
        <v>309</v>
      </c>
      <c r="BL125" s="151">
        <f t="shared" si="19"/>
        <v>0</v>
      </c>
      <c r="BR125" s="145" t="s">
        <v>309</v>
      </c>
      <c r="BS125" s="146">
        <v>15.6</v>
      </c>
      <c r="CA125" s="145" t="s">
        <v>309</v>
      </c>
      <c r="CB125" s="146">
        <v>0</v>
      </c>
    </row>
    <row r="126" spans="1:80" ht="22.5">
      <c r="A126" s="7">
        <f t="shared" si="14"/>
        <v>121</v>
      </c>
      <c r="B126" s="3" t="s">
        <v>15</v>
      </c>
      <c r="C126" s="166"/>
      <c r="D126" s="114">
        <v>5000</v>
      </c>
      <c r="E126" s="166"/>
      <c r="F126" s="114">
        <v>4000</v>
      </c>
      <c r="G126" s="114"/>
      <c r="H126" s="114">
        <v>11000</v>
      </c>
      <c r="I126" s="166"/>
      <c r="J126" s="116">
        <f>AK105+AK106</f>
        <v>9567.73</v>
      </c>
      <c r="K126" s="166"/>
      <c r="L126" s="199">
        <v>4000</v>
      </c>
      <c r="M126" s="204"/>
      <c r="N126" s="116">
        <f>AO105+AO106</f>
        <v>9481.19</v>
      </c>
      <c r="O126" s="3"/>
      <c r="P126" s="116">
        <f>AS105+AS106</f>
        <v>4903.41</v>
      </c>
      <c r="Q126" s="116"/>
      <c r="R126" s="116">
        <v>7812.37</v>
      </c>
      <c r="S126" s="116"/>
      <c r="T126" s="114">
        <f>-540.69+1244.88</f>
        <v>704.19</v>
      </c>
      <c r="U126" s="112"/>
      <c r="V126" s="114">
        <f>6177.83+2290</f>
        <v>8467.83</v>
      </c>
      <c r="W126" s="112"/>
      <c r="X126" s="114">
        <f>2388.06+1895.18</f>
        <v>4283.24</v>
      </c>
      <c r="Y126" s="112"/>
      <c r="AB126" s="7">
        <f t="shared" si="17"/>
        <v>1000</v>
      </c>
      <c r="AD126" s="145" t="s">
        <v>209</v>
      </c>
      <c r="AE126" s="146">
        <v>1736.32</v>
      </c>
      <c r="AF126" s="261">
        <v>3445.4</v>
      </c>
      <c r="AG126" s="146">
        <v>3692.87</v>
      </c>
      <c r="AH126" s="145"/>
      <c r="AI126" s="145"/>
      <c r="AJ126" s="145" t="s">
        <v>310</v>
      </c>
      <c r="AK126" s="146">
        <v>2278.45</v>
      </c>
      <c r="AL126" s="189"/>
      <c r="AM126" s="189"/>
      <c r="AN126" s="145" t="s">
        <v>310</v>
      </c>
      <c r="AO126" s="146">
        <v>41984.66</v>
      </c>
      <c r="AP126" s="145"/>
      <c r="AR126" s="150" t="s">
        <v>310</v>
      </c>
      <c r="AS126" s="151">
        <f t="shared" si="18"/>
        <v>32753.05</v>
      </c>
      <c r="AT126" s="222"/>
      <c r="AW126" s="150" t="s">
        <v>304</v>
      </c>
      <c r="AX126" s="151">
        <v>4445.06</v>
      </c>
      <c r="AY126" s="239"/>
      <c r="AZ126" s="78"/>
      <c r="BA126" s="78"/>
      <c r="BB126" s="145" t="s">
        <v>310</v>
      </c>
      <c r="BC126" s="146">
        <v>32753.05</v>
      </c>
      <c r="BD126" s="186"/>
      <c r="BE126" s="146">
        <v>32753.05</v>
      </c>
      <c r="BF126" s="189">
        <f t="shared" si="12"/>
        <v>0</v>
      </c>
      <c r="BG126" s="218"/>
      <c r="BH126" s="189"/>
      <c r="BI126" s="145" t="s">
        <v>310</v>
      </c>
      <c r="BJ126" s="146">
        <v>35484.66</v>
      </c>
      <c r="BK126" s="150" t="s">
        <v>310</v>
      </c>
      <c r="BL126" s="151">
        <f t="shared" si="19"/>
        <v>0</v>
      </c>
      <c r="BR126" s="145" t="s">
        <v>310</v>
      </c>
      <c r="BS126" s="146">
        <v>35484.66</v>
      </c>
      <c r="CA126" s="145" t="s">
        <v>310</v>
      </c>
      <c r="CB126" s="146">
        <v>2278.45</v>
      </c>
    </row>
    <row r="127" spans="1:80" ht="22.5">
      <c r="A127" s="7">
        <f t="shared" si="14"/>
        <v>122</v>
      </c>
      <c r="B127" s="3" t="s">
        <v>106</v>
      </c>
      <c r="C127" s="166"/>
      <c r="D127" s="114">
        <v>40000</v>
      </c>
      <c r="E127" s="166"/>
      <c r="F127" s="114">
        <v>40000</v>
      </c>
      <c r="G127" s="114"/>
      <c r="H127" s="114">
        <v>25000</v>
      </c>
      <c r="I127" s="166"/>
      <c r="J127" s="116">
        <f>AK109</f>
        <v>15138.97</v>
      </c>
      <c r="K127" s="166"/>
      <c r="L127" s="199">
        <v>38000</v>
      </c>
      <c r="M127" s="204"/>
      <c r="N127" s="116">
        <f>AO109</f>
        <v>47651.5</v>
      </c>
      <c r="O127" s="3"/>
      <c r="P127" s="116">
        <f>AS109</f>
        <v>46404.04</v>
      </c>
      <c r="Q127" s="116"/>
      <c r="R127" s="116">
        <v>31808.59</v>
      </c>
      <c r="S127" s="116"/>
      <c r="T127" s="114">
        <f>77680.06+5000</f>
        <v>82680.06</v>
      </c>
      <c r="U127" s="112"/>
      <c r="V127" s="114">
        <v>40527.12</v>
      </c>
      <c r="W127" s="112"/>
      <c r="X127" s="114">
        <v>46152.64</v>
      </c>
      <c r="Y127" s="112"/>
      <c r="AB127" s="7">
        <f t="shared" si="17"/>
        <v>0</v>
      </c>
      <c r="AD127" s="145" t="s">
        <v>210</v>
      </c>
      <c r="AE127" s="146">
        <v>14123.63</v>
      </c>
      <c r="AF127" s="261">
        <v>17079.33</v>
      </c>
      <c r="AG127" s="146">
        <v>16917.74</v>
      </c>
      <c r="AH127" s="145"/>
      <c r="AI127" s="145"/>
      <c r="AJ127" s="145" t="s">
        <v>47</v>
      </c>
      <c r="AK127" s="146">
        <v>25000</v>
      </c>
      <c r="AL127" s="189"/>
      <c r="AM127" s="189"/>
      <c r="AN127" s="145" t="s">
        <v>47</v>
      </c>
      <c r="AO127" s="146">
        <v>25000</v>
      </c>
      <c r="AP127" s="145"/>
      <c r="AR127" s="150" t="s">
        <v>47</v>
      </c>
      <c r="AS127" s="151">
        <f t="shared" si="18"/>
        <v>25000</v>
      </c>
      <c r="AT127" s="222"/>
      <c r="AW127" s="150" t="s">
        <v>305</v>
      </c>
      <c r="AX127" s="151">
        <v>672.49</v>
      </c>
      <c r="AY127" s="239"/>
      <c r="AZ127" s="78"/>
      <c r="BA127" s="78"/>
      <c r="BB127" s="145" t="s">
        <v>47</v>
      </c>
      <c r="BC127" s="146">
        <v>25000</v>
      </c>
      <c r="BD127" s="186"/>
      <c r="BE127" s="146">
        <v>25000</v>
      </c>
      <c r="BF127" s="189">
        <f t="shared" si="12"/>
        <v>0</v>
      </c>
      <c r="BG127" s="218"/>
      <c r="BH127" s="189"/>
      <c r="BI127" s="145" t="s">
        <v>47</v>
      </c>
      <c r="BJ127" s="146">
        <v>25000</v>
      </c>
      <c r="BK127" s="150" t="s">
        <v>47</v>
      </c>
      <c r="BL127" s="151">
        <f t="shared" si="19"/>
        <v>0</v>
      </c>
      <c r="BR127" s="145" t="s">
        <v>47</v>
      </c>
      <c r="BS127" s="146">
        <v>25000</v>
      </c>
      <c r="CA127" s="145" t="s">
        <v>47</v>
      </c>
      <c r="CB127" s="146">
        <v>25000</v>
      </c>
    </row>
    <row r="128" spans="1:80" ht="22.5">
      <c r="A128" s="7">
        <f t="shared" si="14"/>
        <v>123</v>
      </c>
      <c r="B128" s="3" t="s">
        <v>107</v>
      </c>
      <c r="C128" s="166"/>
      <c r="D128" s="123">
        <v>1000</v>
      </c>
      <c r="E128" s="166"/>
      <c r="F128" s="123">
        <v>1000</v>
      </c>
      <c r="G128" s="123"/>
      <c r="H128" s="123">
        <v>1000</v>
      </c>
      <c r="I128" s="166"/>
      <c r="J128" s="116">
        <f>AK38</f>
        <v>168.39</v>
      </c>
      <c r="K128" s="166"/>
      <c r="L128" s="199">
        <v>7500</v>
      </c>
      <c r="M128" s="204"/>
      <c r="N128" s="116">
        <f>AO38</f>
        <v>224.52</v>
      </c>
      <c r="O128" s="3"/>
      <c r="P128" s="116">
        <f>AS38</f>
        <v>224.52</v>
      </c>
      <c r="Q128" s="116"/>
      <c r="R128" s="116">
        <v>8571</v>
      </c>
      <c r="S128" s="116"/>
      <c r="T128" s="114">
        <f>6922.82</f>
        <v>6922.82</v>
      </c>
      <c r="U128" s="112"/>
      <c r="V128" s="114">
        <f>7447.51</f>
        <v>7447.51</v>
      </c>
      <c r="W128" s="112"/>
      <c r="X128" s="114">
        <v>5955.17</v>
      </c>
      <c r="Y128" s="112"/>
      <c r="AB128" s="7">
        <f t="shared" si="17"/>
        <v>0</v>
      </c>
      <c r="AD128" s="145" t="s">
        <v>211</v>
      </c>
      <c r="AE128" s="146">
        <v>17395.57</v>
      </c>
      <c r="AF128" s="261">
        <v>21975.27</v>
      </c>
      <c r="AG128" s="146">
        <v>29109.93</v>
      </c>
      <c r="AH128" s="145"/>
      <c r="AI128" s="145"/>
      <c r="AJ128" s="145" t="s">
        <v>311</v>
      </c>
      <c r="AK128" s="146">
        <v>0</v>
      </c>
      <c r="AL128" s="189"/>
      <c r="AM128" s="189"/>
      <c r="AN128" s="145" t="s">
        <v>311</v>
      </c>
      <c r="AO128" s="146">
        <v>1870.4</v>
      </c>
      <c r="AP128" s="145"/>
      <c r="AR128" s="150" t="s">
        <v>311</v>
      </c>
      <c r="AS128" s="151">
        <f t="shared" si="18"/>
        <v>2276.42</v>
      </c>
      <c r="AT128" s="222"/>
      <c r="AW128" s="150" t="s">
        <v>306</v>
      </c>
      <c r="AX128" s="151">
        <v>8369.51</v>
      </c>
      <c r="AY128" s="239"/>
      <c r="AZ128" s="78"/>
      <c r="BA128" s="78"/>
      <c r="BB128" s="145" t="s">
        <v>311</v>
      </c>
      <c r="BC128" s="146">
        <v>2276.42</v>
      </c>
      <c r="BD128" s="186"/>
      <c r="BE128" s="146">
        <v>2276.42</v>
      </c>
      <c r="BF128" s="189">
        <f t="shared" si="12"/>
        <v>0</v>
      </c>
      <c r="BG128" s="218"/>
      <c r="BH128" s="189"/>
      <c r="BI128" s="145" t="s">
        <v>311</v>
      </c>
      <c r="BJ128" s="146">
        <v>1870.4</v>
      </c>
      <c r="BK128" s="150" t="s">
        <v>311</v>
      </c>
      <c r="BL128" s="151">
        <f t="shared" si="19"/>
        <v>0</v>
      </c>
      <c r="BR128" s="145" t="s">
        <v>311</v>
      </c>
      <c r="BS128" s="146">
        <v>1870.4</v>
      </c>
      <c r="CA128" s="145" t="s">
        <v>311</v>
      </c>
      <c r="CB128" s="146">
        <v>0</v>
      </c>
    </row>
    <row r="129" spans="1:80" ht="22.5">
      <c r="A129" s="7">
        <f t="shared" si="14"/>
        <v>124</v>
      </c>
      <c r="B129" s="3" t="s">
        <v>81</v>
      </c>
      <c r="C129" s="166"/>
      <c r="D129" s="123">
        <v>19000</v>
      </c>
      <c r="E129" s="166"/>
      <c r="F129" s="123">
        <v>19000</v>
      </c>
      <c r="G129" s="123"/>
      <c r="H129" s="123">
        <v>19000</v>
      </c>
      <c r="I129" s="166"/>
      <c r="J129" s="116">
        <f>AK107</f>
        <v>0</v>
      </c>
      <c r="K129" s="166"/>
      <c r="L129" s="199">
        <v>19000</v>
      </c>
      <c r="M129" s="206"/>
      <c r="N129" s="116">
        <f>AO107</f>
        <v>0</v>
      </c>
      <c r="O129" s="3"/>
      <c r="P129" s="116">
        <f>AS107</f>
        <v>0</v>
      </c>
      <c r="Q129" s="116"/>
      <c r="R129" s="116">
        <v>2581.66</v>
      </c>
      <c r="S129" s="116"/>
      <c r="T129" s="114">
        <v>17739.66</v>
      </c>
      <c r="U129" s="112"/>
      <c r="V129" s="114">
        <v>21399.29</v>
      </c>
      <c r="W129" s="112"/>
      <c r="X129" s="114">
        <v>23767.38</v>
      </c>
      <c r="Y129" s="112"/>
      <c r="AB129" s="7">
        <f t="shared" si="17"/>
        <v>0</v>
      </c>
      <c r="AF129" s="146"/>
      <c r="AG129" s="146"/>
      <c r="AH129" s="236"/>
      <c r="AI129" s="145"/>
      <c r="AJ129" s="145" t="s">
        <v>312</v>
      </c>
      <c r="AK129" s="146">
        <v>155.59</v>
      </c>
      <c r="AL129" s="189"/>
      <c r="AM129" s="189"/>
      <c r="AN129" s="145" t="s">
        <v>312</v>
      </c>
      <c r="AO129" s="146">
        <v>1174.8</v>
      </c>
      <c r="AP129" s="145"/>
      <c r="AR129" s="150" t="s">
        <v>312</v>
      </c>
      <c r="AS129" s="151">
        <f t="shared" si="18"/>
        <v>8405.23</v>
      </c>
      <c r="AT129" s="222"/>
      <c r="AW129" s="150" t="s">
        <v>307</v>
      </c>
      <c r="AX129" s="151">
        <v>206.04</v>
      </c>
      <c r="AY129" s="239"/>
      <c r="AZ129" s="78"/>
      <c r="BA129" s="78"/>
      <c r="BB129" s="145" t="s">
        <v>312</v>
      </c>
      <c r="BC129" s="146">
        <v>8405.23</v>
      </c>
      <c r="BD129" s="186"/>
      <c r="BE129" s="146">
        <v>8405.23</v>
      </c>
      <c r="BF129" s="189">
        <f t="shared" si="12"/>
        <v>0</v>
      </c>
      <c r="BG129" s="218"/>
      <c r="BH129" s="189"/>
      <c r="BI129" s="145" t="s">
        <v>312</v>
      </c>
      <c r="BJ129" s="146">
        <v>1174.8</v>
      </c>
      <c r="BK129" s="150" t="s">
        <v>312</v>
      </c>
      <c r="BL129" s="151">
        <f t="shared" si="19"/>
        <v>0</v>
      </c>
      <c r="BR129" s="145" t="s">
        <v>312</v>
      </c>
      <c r="BS129" s="146">
        <v>1174.8</v>
      </c>
      <c r="CA129" s="145" t="s">
        <v>312</v>
      </c>
      <c r="CB129" s="146">
        <v>155.59</v>
      </c>
    </row>
    <row r="130" spans="1:80" ht="22.5">
      <c r="A130" s="7">
        <f t="shared" si="14"/>
        <v>125</v>
      </c>
      <c r="B130" s="3" t="s">
        <v>125</v>
      </c>
      <c r="C130" s="166"/>
      <c r="D130" s="114">
        <v>3000</v>
      </c>
      <c r="E130" s="166"/>
      <c r="F130" s="114">
        <v>3000</v>
      </c>
      <c r="G130" s="114"/>
      <c r="H130" s="114">
        <v>3000</v>
      </c>
      <c r="I130" s="166"/>
      <c r="J130" s="116">
        <f>AK108</f>
        <v>816.19</v>
      </c>
      <c r="K130" s="166"/>
      <c r="L130" s="199">
        <v>2000</v>
      </c>
      <c r="M130" s="204"/>
      <c r="N130" s="116">
        <f>AO108</f>
        <v>954.06</v>
      </c>
      <c r="O130" s="3"/>
      <c r="P130" s="116">
        <f>AS108</f>
        <v>5705.7</v>
      </c>
      <c r="Q130" s="116"/>
      <c r="R130" s="116">
        <v>1317.15</v>
      </c>
      <c r="S130" s="116"/>
      <c r="T130" s="114">
        <v>1089.69</v>
      </c>
      <c r="U130" s="112"/>
      <c r="V130" s="114">
        <v>2505.16</v>
      </c>
      <c r="W130" s="112"/>
      <c r="X130" s="114">
        <v>4520.44</v>
      </c>
      <c r="Y130" s="112"/>
      <c r="AB130" s="7">
        <f t="shared" si="17"/>
        <v>0</v>
      </c>
      <c r="AE130" s="157">
        <f>SUM(AE121:AE128)</f>
        <v>60493.63</v>
      </c>
      <c r="AF130" s="157">
        <f>SUM(AF121:AF128)</f>
        <v>136770.73</v>
      </c>
      <c r="AG130" s="149">
        <f>SUM(AG121:AG129)</f>
        <v>157540.19</v>
      </c>
      <c r="AH130" s="236"/>
      <c r="AI130" s="145"/>
      <c r="AJ130" s="145" t="s">
        <v>313</v>
      </c>
      <c r="AK130" s="146">
        <v>0</v>
      </c>
      <c r="AL130" s="189"/>
      <c r="AM130" s="189"/>
      <c r="AN130" s="145" t="s">
        <v>313</v>
      </c>
      <c r="AO130" s="146">
        <v>30350.19</v>
      </c>
      <c r="AP130" s="145"/>
      <c r="AR130" s="150" t="s">
        <v>313</v>
      </c>
      <c r="AS130" s="151">
        <f t="shared" si="18"/>
        <v>34819.57</v>
      </c>
      <c r="AT130" s="222"/>
      <c r="AW130" s="150" t="s">
        <v>308</v>
      </c>
      <c r="AX130" s="151">
        <v>12320.12</v>
      </c>
      <c r="AY130" s="239"/>
      <c r="AZ130" s="78"/>
      <c r="BA130" s="78"/>
      <c r="BB130" s="145" t="s">
        <v>313</v>
      </c>
      <c r="BC130" s="146">
        <v>34819.57</v>
      </c>
      <c r="BD130" s="186"/>
      <c r="BE130" s="146">
        <v>34819.57</v>
      </c>
      <c r="BF130" s="189">
        <f t="shared" si="12"/>
        <v>0</v>
      </c>
      <c r="BG130" s="218"/>
      <c r="BH130" s="189"/>
      <c r="BI130" s="145" t="s">
        <v>313</v>
      </c>
      <c r="BJ130" s="146">
        <v>30350.19</v>
      </c>
      <c r="BK130" s="150" t="s">
        <v>313</v>
      </c>
      <c r="BL130" s="151">
        <f t="shared" si="19"/>
        <v>0</v>
      </c>
      <c r="BR130" s="145" t="s">
        <v>313</v>
      </c>
      <c r="BS130" s="146">
        <v>30350.19</v>
      </c>
      <c r="CA130" s="145" t="s">
        <v>313</v>
      </c>
      <c r="CB130" s="146">
        <v>0</v>
      </c>
    </row>
    <row r="131" spans="1:80" ht="23.25" thickBot="1">
      <c r="A131" s="7">
        <f t="shared" si="14"/>
        <v>126</v>
      </c>
      <c r="B131" s="3" t="s">
        <v>387</v>
      </c>
      <c r="C131" s="166"/>
      <c r="D131" s="114">
        <v>47000</v>
      </c>
      <c r="E131" s="166"/>
      <c r="F131" s="114">
        <v>47000</v>
      </c>
      <c r="G131" s="114"/>
      <c r="H131" s="114">
        <v>39000</v>
      </c>
      <c r="I131" s="166"/>
      <c r="J131" s="147">
        <f>AE121+AE126+AE128</f>
        <v>43165.64</v>
      </c>
      <c r="K131" s="166"/>
      <c r="L131" s="199">
        <v>45000</v>
      </c>
      <c r="M131" s="204"/>
      <c r="N131" s="147">
        <f>AF121+AF126+AF128</f>
        <v>56056.350000000006</v>
      </c>
      <c r="O131" s="3"/>
      <c r="P131" s="147">
        <f>AG121+AG126+AG128</f>
        <v>74540.21</v>
      </c>
      <c r="Q131" s="116"/>
      <c r="R131" s="116">
        <v>64101.100000000006</v>
      </c>
      <c r="S131" s="116"/>
      <c r="T131" s="114">
        <f>42867+2000.16</f>
        <v>44867.16</v>
      </c>
      <c r="U131" s="112"/>
      <c r="V131" s="114">
        <f>32623.58+1609.29</f>
        <v>34232.87</v>
      </c>
      <c r="W131" s="112"/>
      <c r="X131" s="114">
        <f>34222.53+1469.48</f>
        <v>35692.01</v>
      </c>
      <c r="Y131" s="112"/>
      <c r="AB131" s="7">
        <f t="shared" si="17"/>
        <v>0</v>
      </c>
      <c r="AF131" s="158"/>
      <c r="AG131" s="158">
        <v>157540.19</v>
      </c>
      <c r="AH131" s="236"/>
      <c r="AI131" s="145"/>
      <c r="AJ131" s="145" t="s">
        <v>314</v>
      </c>
      <c r="AK131" s="146">
        <v>194.89</v>
      </c>
      <c r="AL131" s="189"/>
      <c r="AM131" s="189"/>
      <c r="AN131" s="145" t="s">
        <v>314</v>
      </c>
      <c r="AO131" s="146">
        <v>9349.3</v>
      </c>
      <c r="AP131" s="145"/>
      <c r="AR131" s="150" t="s">
        <v>314</v>
      </c>
      <c r="AS131" s="151">
        <f t="shared" si="18"/>
        <v>2043.5</v>
      </c>
      <c r="AT131" s="222"/>
      <c r="AW131" s="150" t="s">
        <v>309</v>
      </c>
      <c r="AX131" s="151">
        <v>0.9</v>
      </c>
      <c r="AY131" s="239"/>
      <c r="AZ131" s="78"/>
      <c r="BA131" s="78"/>
      <c r="BB131" s="145" t="s">
        <v>314</v>
      </c>
      <c r="BC131" s="146">
        <v>2043.5</v>
      </c>
      <c r="BD131" s="186"/>
      <c r="BE131" s="146">
        <v>2043.5</v>
      </c>
      <c r="BF131" s="189">
        <f t="shared" si="12"/>
        <v>0</v>
      </c>
      <c r="BG131" s="218"/>
      <c r="BH131" s="189"/>
      <c r="BI131" s="145" t="s">
        <v>314</v>
      </c>
      <c r="BJ131" s="146">
        <v>9349.3</v>
      </c>
      <c r="BK131" s="150" t="s">
        <v>314</v>
      </c>
      <c r="BL131" s="151">
        <f t="shared" si="19"/>
        <v>0</v>
      </c>
      <c r="BR131" s="145" t="s">
        <v>314</v>
      </c>
      <c r="BS131" s="146">
        <v>9349.3</v>
      </c>
      <c r="CA131" s="145" t="s">
        <v>314</v>
      </c>
      <c r="CB131" s="146">
        <v>194.89</v>
      </c>
    </row>
    <row r="132" spans="1:80" ht="23.25" thickTop="1">
      <c r="A132" s="7">
        <f t="shared" si="14"/>
        <v>127</v>
      </c>
      <c r="B132" s="3" t="s">
        <v>83</v>
      </c>
      <c r="C132" s="166"/>
      <c r="D132" s="114">
        <v>53607</v>
      </c>
      <c r="E132" s="166"/>
      <c r="F132" s="114">
        <v>53607</v>
      </c>
      <c r="G132" s="114"/>
      <c r="H132" s="114">
        <v>50000</v>
      </c>
      <c r="I132" s="166"/>
      <c r="J132" s="147">
        <f>AE124</f>
        <v>0</v>
      </c>
      <c r="K132" s="166"/>
      <c r="L132" s="199">
        <v>54780</v>
      </c>
      <c r="M132" s="206"/>
      <c r="N132" s="147">
        <f>AF124</f>
        <v>53700.25</v>
      </c>
      <c r="O132" s="3"/>
      <c r="P132" s="147">
        <f>AG124</f>
        <v>54974.84</v>
      </c>
      <c r="Q132" s="116"/>
      <c r="R132" s="116">
        <v>55026.54</v>
      </c>
      <c r="S132" s="116"/>
      <c r="T132" s="123">
        <f>48103.43</f>
        <v>48103.43</v>
      </c>
      <c r="U132" s="112"/>
      <c r="V132" s="114">
        <v>36872.02</v>
      </c>
      <c r="W132" s="112"/>
      <c r="X132" s="114">
        <v>42622.03</v>
      </c>
      <c r="Y132" s="112"/>
      <c r="AB132" s="7">
        <f t="shared" si="17"/>
        <v>0</v>
      </c>
      <c r="AG132" s="235"/>
      <c r="AH132" s="236"/>
      <c r="AI132" s="145"/>
      <c r="AJ132" s="145" t="s">
        <v>315</v>
      </c>
      <c r="AK132" s="146">
        <v>0</v>
      </c>
      <c r="AL132" s="189"/>
      <c r="AM132" s="189"/>
      <c r="AN132" s="145" t="s">
        <v>315</v>
      </c>
      <c r="AO132" s="146">
        <v>35000</v>
      </c>
      <c r="AP132" s="145"/>
      <c r="AR132" s="150" t="s">
        <v>315</v>
      </c>
      <c r="AS132" s="151">
        <f t="shared" si="18"/>
        <v>35000</v>
      </c>
      <c r="AT132" s="222"/>
      <c r="AW132" s="150" t="s">
        <v>310</v>
      </c>
      <c r="AX132" s="151">
        <v>32753.05</v>
      </c>
      <c r="AY132" s="239"/>
      <c r="AZ132" s="78"/>
      <c r="BA132" s="78"/>
      <c r="BB132" s="145" t="s">
        <v>315</v>
      </c>
      <c r="BC132" s="146">
        <v>35000</v>
      </c>
      <c r="BD132" s="186"/>
      <c r="BE132" s="146">
        <v>35000</v>
      </c>
      <c r="BF132" s="189">
        <f t="shared" si="12"/>
        <v>0</v>
      </c>
      <c r="BG132" s="218"/>
      <c r="BH132" s="189"/>
      <c r="BI132" s="145" t="s">
        <v>315</v>
      </c>
      <c r="BJ132" s="146">
        <v>35000</v>
      </c>
      <c r="BK132" s="150" t="s">
        <v>315</v>
      </c>
      <c r="BL132" s="151">
        <f t="shared" si="19"/>
        <v>0</v>
      </c>
      <c r="BR132" s="145" t="s">
        <v>315</v>
      </c>
      <c r="BS132" s="146">
        <v>35000</v>
      </c>
      <c r="CA132" s="145" t="s">
        <v>315</v>
      </c>
      <c r="CB132" s="146">
        <v>0</v>
      </c>
    </row>
    <row r="133" spans="1:80" ht="22.5">
      <c r="A133" s="7">
        <f t="shared" si="14"/>
        <v>128</v>
      </c>
      <c r="B133" s="3" t="s">
        <v>111</v>
      </c>
      <c r="C133" s="166"/>
      <c r="D133" s="114">
        <v>4000</v>
      </c>
      <c r="E133" s="166"/>
      <c r="F133" s="114">
        <v>4000</v>
      </c>
      <c r="G133" s="114"/>
      <c r="H133" s="114">
        <v>4000</v>
      </c>
      <c r="I133" s="166"/>
      <c r="J133" s="116">
        <f>AK139</f>
        <v>0</v>
      </c>
      <c r="K133" s="166"/>
      <c r="L133" s="199">
        <v>4000</v>
      </c>
      <c r="M133" s="204"/>
      <c r="N133" s="116">
        <f>AO139</f>
        <v>4000</v>
      </c>
      <c r="O133" s="3"/>
      <c r="P133" s="116">
        <f>AS139</f>
        <v>4000</v>
      </c>
      <c r="Q133" s="116"/>
      <c r="R133" s="116">
        <v>4000</v>
      </c>
      <c r="S133" s="116"/>
      <c r="T133" s="114">
        <v>4000</v>
      </c>
      <c r="U133" s="112"/>
      <c r="V133" s="114">
        <v>3000</v>
      </c>
      <c r="W133" s="112"/>
      <c r="X133" s="114">
        <v>3000</v>
      </c>
      <c r="Y133" s="112"/>
      <c r="AB133" s="7">
        <f t="shared" si="17"/>
        <v>0</v>
      </c>
      <c r="AD133" s="145"/>
      <c r="AE133" s="145"/>
      <c r="AG133" s="235"/>
      <c r="AH133" s="236"/>
      <c r="AI133" s="145"/>
      <c r="AJ133" s="145" t="s">
        <v>316</v>
      </c>
      <c r="AK133" s="146">
        <v>0</v>
      </c>
      <c r="AL133" s="189"/>
      <c r="AM133" s="189"/>
      <c r="AN133" s="145" t="s">
        <v>316</v>
      </c>
      <c r="AO133" s="146">
        <v>0</v>
      </c>
      <c r="AP133" s="145"/>
      <c r="AR133" s="150" t="s">
        <v>316</v>
      </c>
      <c r="AS133" s="151">
        <f t="shared" si="18"/>
        <v>0</v>
      </c>
      <c r="AT133" s="222"/>
      <c r="AW133" s="150" t="s">
        <v>47</v>
      </c>
      <c r="AX133" s="151">
        <v>25000</v>
      </c>
      <c r="AY133" s="239"/>
      <c r="AZ133" s="78"/>
      <c r="BA133" s="78"/>
      <c r="BB133" s="145" t="s">
        <v>316</v>
      </c>
      <c r="BC133" s="146">
        <v>0</v>
      </c>
      <c r="BD133" s="186"/>
      <c r="BE133" s="146">
        <v>0</v>
      </c>
      <c r="BF133" s="189">
        <f t="shared" si="12"/>
        <v>0</v>
      </c>
      <c r="BG133" s="218"/>
      <c r="BH133" s="189"/>
      <c r="BI133" s="145" t="s">
        <v>316</v>
      </c>
      <c r="BJ133" s="146">
        <v>0</v>
      </c>
      <c r="BK133" s="150" t="s">
        <v>316</v>
      </c>
      <c r="BL133" s="151">
        <f t="shared" si="19"/>
        <v>0</v>
      </c>
      <c r="BR133" s="145" t="s">
        <v>316</v>
      </c>
      <c r="BS133" s="146">
        <v>0</v>
      </c>
      <c r="CA133" s="145" t="s">
        <v>316</v>
      </c>
      <c r="CB133" s="146">
        <v>0</v>
      </c>
    </row>
    <row r="134" spans="1:80" ht="22.5">
      <c r="A134" s="7">
        <f t="shared" si="14"/>
        <v>129</v>
      </c>
      <c r="B134" s="3" t="s">
        <v>65</v>
      </c>
      <c r="C134" s="166"/>
      <c r="D134" s="114">
        <v>8500</v>
      </c>
      <c r="E134" s="166"/>
      <c r="F134" s="114">
        <v>8000</v>
      </c>
      <c r="G134" s="114"/>
      <c r="H134" s="114">
        <v>8000</v>
      </c>
      <c r="I134" s="166"/>
      <c r="J134" s="148">
        <f>AE123+AE122</f>
        <v>0</v>
      </c>
      <c r="K134" s="166"/>
      <c r="L134" s="199">
        <v>9000</v>
      </c>
      <c r="M134" s="204"/>
      <c r="N134" s="148">
        <f>AF123+AF122</f>
        <v>6046.84</v>
      </c>
      <c r="O134" s="3"/>
      <c r="P134" s="148">
        <f>AG122+AG123</f>
        <v>7401.68</v>
      </c>
      <c r="Q134" s="116"/>
      <c r="R134" s="116">
        <v>8577.2</v>
      </c>
      <c r="S134" s="116"/>
      <c r="T134" s="114">
        <f>5986.08+3283</f>
        <v>9269.08</v>
      </c>
      <c r="U134" s="112"/>
      <c r="V134" s="114">
        <f>6057.6+3512</f>
        <v>9569.6</v>
      </c>
      <c r="W134" s="112"/>
      <c r="X134" s="114">
        <f>5599.6+2403</f>
        <v>8002.6</v>
      </c>
      <c r="Y134" s="112"/>
      <c r="AB134" s="7">
        <f t="shared" si="17"/>
        <v>500</v>
      </c>
      <c r="AD134" s="145"/>
      <c r="AE134" s="145"/>
      <c r="AG134" s="235"/>
      <c r="AH134" s="236"/>
      <c r="AI134" s="145"/>
      <c r="AJ134" s="145" t="s">
        <v>317</v>
      </c>
      <c r="AK134" s="146">
        <v>0</v>
      </c>
      <c r="AL134" s="189"/>
      <c r="AM134" s="189"/>
      <c r="AN134" s="145" t="s">
        <v>317</v>
      </c>
      <c r="AO134" s="146">
        <v>35000</v>
      </c>
      <c r="AP134" s="145"/>
      <c r="AR134" s="150" t="s">
        <v>317</v>
      </c>
      <c r="AS134" s="151">
        <f t="shared" si="18"/>
        <v>35000</v>
      </c>
      <c r="AT134" s="222"/>
      <c r="AW134" s="150" t="s">
        <v>311</v>
      </c>
      <c r="AX134" s="151">
        <v>2276.42</v>
      </c>
      <c r="AY134" s="239"/>
      <c r="AZ134" s="78"/>
      <c r="BA134" s="78"/>
      <c r="BB134" s="145" t="s">
        <v>317</v>
      </c>
      <c r="BC134" s="146">
        <v>35000</v>
      </c>
      <c r="BD134" s="186"/>
      <c r="BE134" s="146">
        <v>35000</v>
      </c>
      <c r="BF134" s="189">
        <f t="shared" si="12"/>
        <v>0</v>
      </c>
      <c r="BG134" s="218"/>
      <c r="BH134" s="189"/>
      <c r="BI134" s="145" t="s">
        <v>317</v>
      </c>
      <c r="BJ134" s="146">
        <v>35000</v>
      </c>
      <c r="BK134" s="150" t="s">
        <v>317</v>
      </c>
      <c r="BL134" s="151">
        <f t="shared" si="19"/>
        <v>0</v>
      </c>
      <c r="BR134" s="145" t="s">
        <v>317</v>
      </c>
      <c r="BS134" s="146">
        <v>35000</v>
      </c>
      <c r="CA134" s="145" t="s">
        <v>317</v>
      </c>
      <c r="CB134" s="146">
        <v>0</v>
      </c>
    </row>
    <row r="135" spans="1:80" ht="22.5">
      <c r="A135" s="7">
        <f t="shared" si="14"/>
        <v>130</v>
      </c>
      <c r="B135" s="3" t="s">
        <v>85</v>
      </c>
      <c r="C135" s="166"/>
      <c r="D135" s="114">
        <v>36000</v>
      </c>
      <c r="E135" s="166"/>
      <c r="F135" s="114">
        <v>35000</v>
      </c>
      <c r="G135" s="114"/>
      <c r="H135" s="114">
        <v>35000</v>
      </c>
      <c r="I135" s="166"/>
      <c r="J135" s="116">
        <f>AK130</f>
        <v>0</v>
      </c>
      <c r="K135" s="166"/>
      <c r="L135" s="199">
        <v>33000</v>
      </c>
      <c r="M135" s="204"/>
      <c r="N135" s="116">
        <f>AO130</f>
        <v>30350.19</v>
      </c>
      <c r="O135" s="3"/>
      <c r="P135" s="116">
        <f>AS130</f>
        <v>34819.57</v>
      </c>
      <c r="Q135" s="116"/>
      <c r="R135" s="116">
        <v>41263.78</v>
      </c>
      <c r="S135" s="116"/>
      <c r="T135" s="114">
        <v>18885.72</v>
      </c>
      <c r="U135" s="112"/>
      <c r="V135" s="114">
        <v>38170.77</v>
      </c>
      <c r="W135" s="112"/>
      <c r="X135" s="114">
        <f>22481.04</f>
        <v>22481.04</v>
      </c>
      <c r="Y135" s="112"/>
      <c r="AB135" s="7">
        <f t="shared" si="17"/>
        <v>1000</v>
      </c>
      <c r="AD135" s="145"/>
      <c r="AE135" s="145"/>
      <c r="AG135" s="235"/>
      <c r="AH135" s="236"/>
      <c r="AI135" s="145"/>
      <c r="AJ135" s="145" t="s">
        <v>318</v>
      </c>
      <c r="AK135" s="146"/>
      <c r="AL135" s="189"/>
      <c r="AM135" s="189"/>
      <c r="AN135" s="145" t="s">
        <v>318</v>
      </c>
      <c r="AO135" s="146"/>
      <c r="AP135" s="145"/>
      <c r="AR135" s="150" t="s">
        <v>318</v>
      </c>
      <c r="AS135" s="151">
        <f t="shared" si="18"/>
        <v>0</v>
      </c>
      <c r="AT135" s="222"/>
      <c r="AW135" s="150" t="s">
        <v>312</v>
      </c>
      <c r="AX135" s="151">
        <v>8405.23</v>
      </c>
      <c r="AY135" s="239"/>
      <c r="AZ135" s="78"/>
      <c r="BA135" s="78"/>
      <c r="BB135" s="145" t="s">
        <v>318</v>
      </c>
      <c r="BC135" s="146"/>
      <c r="BD135" s="186"/>
      <c r="BE135" s="146"/>
      <c r="BF135" s="189">
        <f t="shared" si="12"/>
        <v>0</v>
      </c>
      <c r="BG135" s="218"/>
      <c r="BH135" s="189"/>
      <c r="BI135" s="145" t="s">
        <v>318</v>
      </c>
      <c r="BJ135" s="146"/>
      <c r="BK135" s="150" t="s">
        <v>318</v>
      </c>
      <c r="BL135" s="151">
        <f t="shared" si="19"/>
        <v>0</v>
      </c>
      <c r="BR135" s="145" t="s">
        <v>318</v>
      </c>
      <c r="BS135" s="146"/>
      <c r="CA135" s="145" t="s">
        <v>318</v>
      </c>
      <c r="CB135" s="146"/>
    </row>
    <row r="136" spans="1:80" ht="22.5">
      <c r="A136" s="7">
        <f t="shared" si="14"/>
        <v>131</v>
      </c>
      <c r="B136" s="3" t="s">
        <v>84</v>
      </c>
      <c r="C136" s="166"/>
      <c r="D136" s="114">
        <v>15000</v>
      </c>
      <c r="E136" s="166"/>
      <c r="F136" s="114">
        <v>18000</v>
      </c>
      <c r="G136" s="114"/>
      <c r="H136" s="114">
        <v>4000</v>
      </c>
      <c r="I136" s="166"/>
      <c r="J136" s="116">
        <f>AK131</f>
        <v>194.89</v>
      </c>
      <c r="K136" s="166"/>
      <c r="L136" s="199">
        <v>25000</v>
      </c>
      <c r="M136" s="204"/>
      <c r="N136" s="116">
        <f>AO131</f>
        <v>9349.3</v>
      </c>
      <c r="O136" s="3"/>
      <c r="P136" s="116">
        <f>AS131</f>
        <v>2043.5</v>
      </c>
      <c r="Q136" s="116"/>
      <c r="R136" s="116">
        <v>20709.46</v>
      </c>
      <c r="S136" s="116"/>
      <c r="T136" s="114">
        <v>40653.84</v>
      </c>
      <c r="U136" s="112"/>
      <c r="V136" s="114">
        <v>21409.45</v>
      </c>
      <c r="W136" s="112"/>
      <c r="X136" s="114">
        <v>44948.75</v>
      </c>
      <c r="Y136" s="112"/>
      <c r="AB136" s="7">
        <f aca="true" t="shared" si="20" ref="AB136:AB167">D136-F136</f>
        <v>-3000</v>
      </c>
      <c r="AD136" s="145"/>
      <c r="AE136" s="145"/>
      <c r="AG136" s="235"/>
      <c r="AH136" s="236"/>
      <c r="AI136" s="145"/>
      <c r="AJ136" s="145" t="s">
        <v>319</v>
      </c>
      <c r="AK136" s="146">
        <v>0</v>
      </c>
      <c r="AL136" s="189"/>
      <c r="AM136" s="189"/>
      <c r="AN136" s="145" t="s">
        <v>319</v>
      </c>
      <c r="AO136" s="146">
        <v>283906</v>
      </c>
      <c r="AP136" s="145"/>
      <c r="AR136" s="150" t="s">
        <v>319</v>
      </c>
      <c r="AS136" s="151">
        <f t="shared" si="18"/>
        <v>0</v>
      </c>
      <c r="AT136" s="222"/>
      <c r="AW136" s="150" t="s">
        <v>313</v>
      </c>
      <c r="AX136" s="151">
        <v>34819.57</v>
      </c>
      <c r="AY136" s="239"/>
      <c r="AZ136" s="78"/>
      <c r="BA136" s="78"/>
      <c r="BB136" s="145" t="s">
        <v>319</v>
      </c>
      <c r="BC136" s="146">
        <v>0</v>
      </c>
      <c r="BD136" s="186"/>
      <c r="BE136" s="146">
        <v>0</v>
      </c>
      <c r="BF136" s="189">
        <f t="shared" si="12"/>
        <v>0</v>
      </c>
      <c r="BG136" s="218"/>
      <c r="BH136" s="189"/>
      <c r="BI136" s="145" t="s">
        <v>319</v>
      </c>
      <c r="BJ136" s="146">
        <v>283906</v>
      </c>
      <c r="BK136" s="150" t="s">
        <v>319</v>
      </c>
      <c r="BL136" s="151">
        <f t="shared" si="19"/>
        <v>0</v>
      </c>
      <c r="BR136" s="145" t="s">
        <v>319</v>
      </c>
      <c r="BS136" s="146">
        <v>283906</v>
      </c>
      <c r="CA136" s="145" t="s">
        <v>319</v>
      </c>
      <c r="CB136" s="146">
        <v>0</v>
      </c>
    </row>
    <row r="137" spans="1:80" ht="22.5">
      <c r="A137" s="7">
        <f t="shared" si="14"/>
        <v>132</v>
      </c>
      <c r="B137" s="3" t="s">
        <v>71</v>
      </c>
      <c r="C137" s="166"/>
      <c r="D137" s="114">
        <v>35000</v>
      </c>
      <c r="E137" s="166"/>
      <c r="F137" s="114">
        <v>35000</v>
      </c>
      <c r="G137" s="114"/>
      <c r="H137" s="114">
        <v>35000</v>
      </c>
      <c r="I137" s="166"/>
      <c r="J137" s="116">
        <f>AK132</f>
        <v>0</v>
      </c>
      <c r="K137" s="166"/>
      <c r="L137" s="199">
        <v>35000</v>
      </c>
      <c r="M137" s="204"/>
      <c r="N137" s="116">
        <f>AO132</f>
        <v>35000</v>
      </c>
      <c r="O137" s="3"/>
      <c r="P137" s="116">
        <f>AS132</f>
        <v>35000</v>
      </c>
      <c r="Q137" s="116"/>
      <c r="R137" s="116">
        <v>35000</v>
      </c>
      <c r="S137" s="116"/>
      <c r="T137" s="114">
        <v>35000</v>
      </c>
      <c r="U137" s="112"/>
      <c r="V137" s="114">
        <v>30000</v>
      </c>
      <c r="W137" s="112"/>
      <c r="X137" s="114">
        <v>30000</v>
      </c>
      <c r="Y137" s="112"/>
      <c r="AB137" s="7">
        <f t="shared" si="20"/>
        <v>0</v>
      </c>
      <c r="AD137" s="145"/>
      <c r="AE137" s="145"/>
      <c r="AG137" s="235"/>
      <c r="AH137" s="236"/>
      <c r="AI137" s="145"/>
      <c r="AJ137" s="145" t="s">
        <v>320</v>
      </c>
      <c r="AK137" s="146">
        <v>0</v>
      </c>
      <c r="AL137" s="189"/>
      <c r="AM137" s="189"/>
      <c r="AN137" s="145" t="s">
        <v>320</v>
      </c>
      <c r="AO137" s="146">
        <v>283906</v>
      </c>
      <c r="AP137" s="145"/>
      <c r="AR137" s="150" t="s">
        <v>320</v>
      </c>
      <c r="AS137" s="151">
        <f t="shared" si="18"/>
        <v>283190</v>
      </c>
      <c r="AT137" s="222"/>
      <c r="AW137" s="150" t="s">
        <v>314</v>
      </c>
      <c r="AX137" s="151">
        <v>2043.5</v>
      </c>
      <c r="AY137" s="239"/>
      <c r="AZ137" s="78"/>
      <c r="BA137" s="78"/>
      <c r="BB137" s="145" t="s">
        <v>320</v>
      </c>
      <c r="BC137" s="146">
        <v>283190</v>
      </c>
      <c r="BD137" s="186"/>
      <c r="BE137" s="146">
        <v>283190</v>
      </c>
      <c r="BF137" s="189">
        <f aca="true" t="shared" si="21" ref="BF137:BF200">BE137-BC137</f>
        <v>0</v>
      </c>
      <c r="BG137" s="218"/>
      <c r="BH137" s="189"/>
      <c r="BI137" s="145" t="s">
        <v>320</v>
      </c>
      <c r="BJ137" s="146">
        <v>283906</v>
      </c>
      <c r="BK137" s="150" t="s">
        <v>320</v>
      </c>
      <c r="BL137" s="151">
        <f t="shared" si="19"/>
        <v>0</v>
      </c>
      <c r="BR137" s="145" t="s">
        <v>320</v>
      </c>
      <c r="BS137" s="146">
        <v>283906</v>
      </c>
      <c r="CA137" s="145" t="s">
        <v>320</v>
      </c>
      <c r="CB137" s="146">
        <v>0</v>
      </c>
    </row>
    <row r="138" spans="1:80" ht="22.5">
      <c r="A138" s="7">
        <f t="shared" si="14"/>
        <v>133</v>
      </c>
      <c r="B138" s="2" t="s">
        <v>62</v>
      </c>
      <c r="C138" s="166"/>
      <c r="D138" s="246"/>
      <c r="E138" s="166"/>
      <c r="F138" s="246"/>
      <c r="G138" s="123"/>
      <c r="H138" s="246"/>
      <c r="I138" s="172"/>
      <c r="J138" s="116">
        <f>AK133</f>
        <v>0</v>
      </c>
      <c r="K138" s="172"/>
      <c r="L138" s="199"/>
      <c r="M138" s="204"/>
      <c r="N138" s="116">
        <f>AO133</f>
        <v>0</v>
      </c>
      <c r="O138" s="2"/>
      <c r="P138" s="116">
        <f>AS133</f>
        <v>0</v>
      </c>
      <c r="Q138" s="116"/>
      <c r="R138" s="116">
        <v>893.69</v>
      </c>
      <c r="S138" s="116"/>
      <c r="T138" s="114"/>
      <c r="U138" s="112"/>
      <c r="V138" s="114">
        <v>946.26</v>
      </c>
      <c r="W138" s="112"/>
      <c r="X138" s="114">
        <f>28772.29+4580.96</f>
        <v>33353.25</v>
      </c>
      <c r="Y138" s="112"/>
      <c r="AB138" s="7">
        <f t="shared" si="20"/>
        <v>0</v>
      </c>
      <c r="AD138" s="145"/>
      <c r="AE138" s="145"/>
      <c r="AG138" s="235"/>
      <c r="AH138" s="236"/>
      <c r="AI138" s="145"/>
      <c r="AJ138" s="145" t="s">
        <v>321</v>
      </c>
      <c r="AK138" s="146">
        <v>1782.55</v>
      </c>
      <c r="AL138" s="189"/>
      <c r="AM138" s="189"/>
      <c r="AN138" s="145" t="s">
        <v>321</v>
      </c>
      <c r="AO138" s="146">
        <v>6137.64</v>
      </c>
      <c r="AP138" s="145"/>
      <c r="AR138" s="150" t="s">
        <v>321</v>
      </c>
      <c r="AS138" s="151">
        <f t="shared" si="18"/>
        <v>11396.13</v>
      </c>
      <c r="AT138" s="222"/>
      <c r="AW138" s="150" t="s">
        <v>315</v>
      </c>
      <c r="AX138" s="151">
        <v>35000</v>
      </c>
      <c r="AY138" s="239"/>
      <c r="AZ138" s="78"/>
      <c r="BA138" s="78"/>
      <c r="BB138" s="145" t="s">
        <v>321</v>
      </c>
      <c r="BC138" s="146">
        <v>11396.13</v>
      </c>
      <c r="BD138" s="186"/>
      <c r="BE138" s="146">
        <v>11396.13</v>
      </c>
      <c r="BF138" s="189">
        <f t="shared" si="21"/>
        <v>0</v>
      </c>
      <c r="BG138" s="218"/>
      <c r="BH138" s="189"/>
      <c r="BI138" s="145" t="s">
        <v>321</v>
      </c>
      <c r="BJ138" s="146">
        <v>6137.64</v>
      </c>
      <c r="BK138" s="150" t="s">
        <v>321</v>
      </c>
      <c r="BL138" s="151">
        <f t="shared" si="19"/>
        <v>0</v>
      </c>
      <c r="BR138" s="145" t="s">
        <v>321</v>
      </c>
      <c r="BS138" s="146">
        <v>6137.64</v>
      </c>
      <c r="CA138" s="145" t="s">
        <v>321</v>
      </c>
      <c r="CB138" s="146">
        <v>1782.55</v>
      </c>
    </row>
    <row r="139" spans="1:80" ht="23.25" thickBot="1">
      <c r="A139" s="7">
        <f t="shared" si="14"/>
        <v>134</v>
      </c>
      <c r="B139" s="3" t="s">
        <v>131</v>
      </c>
      <c r="C139" s="166"/>
      <c r="D139" s="130">
        <f>SUM(D120:D138)</f>
        <v>318307</v>
      </c>
      <c r="E139" s="166"/>
      <c r="F139" s="130">
        <f>SUM(F120:F138)</f>
        <v>316307</v>
      </c>
      <c r="G139" s="276"/>
      <c r="H139" s="130">
        <f>SUM(H120:H138)</f>
        <v>284700</v>
      </c>
      <c r="I139" s="166"/>
      <c r="J139" s="131">
        <f>SUM(J120:J138)</f>
        <v>109785.63</v>
      </c>
      <c r="K139" s="166"/>
      <c r="L139" s="211">
        <f>SUM(L120:L138)</f>
        <v>327280</v>
      </c>
      <c r="M139" s="220"/>
      <c r="N139" s="131">
        <f>SUM(N120:N138)</f>
        <v>297114.86</v>
      </c>
      <c r="O139" s="3"/>
      <c r="P139" s="131">
        <f>SUM(P120:P138)</f>
        <v>316598.24</v>
      </c>
      <c r="Q139" s="131"/>
      <c r="R139" s="131">
        <f>SUM(R120:R138)</f>
        <v>335191.53</v>
      </c>
      <c r="S139" s="131"/>
      <c r="T139" s="130">
        <f>SUM(T120:T138)</f>
        <v>366284.76</v>
      </c>
      <c r="U139" s="112"/>
      <c r="V139" s="130">
        <f>SUM(V120:V138)</f>
        <v>309405.33999999997</v>
      </c>
      <c r="W139" s="112"/>
      <c r="X139" s="130">
        <f>SUM(X120:X138)</f>
        <v>350398.38</v>
      </c>
      <c r="Y139" s="112"/>
      <c r="AB139" s="7">
        <f t="shared" si="20"/>
        <v>2000</v>
      </c>
      <c r="AD139" s="145"/>
      <c r="AE139" s="145"/>
      <c r="AG139" s="235"/>
      <c r="AH139" s="236"/>
      <c r="AI139" s="145"/>
      <c r="AJ139" s="145" t="s">
        <v>322</v>
      </c>
      <c r="AK139" s="146">
        <v>0</v>
      </c>
      <c r="AL139" s="189"/>
      <c r="AM139" s="189"/>
      <c r="AN139" s="145" t="s">
        <v>322</v>
      </c>
      <c r="AO139" s="146">
        <v>4000</v>
      </c>
      <c r="AP139" s="145"/>
      <c r="AR139" s="150" t="s">
        <v>322</v>
      </c>
      <c r="AS139" s="151">
        <f t="shared" si="18"/>
        <v>4000</v>
      </c>
      <c r="AT139" s="222"/>
      <c r="AW139" s="150" t="s">
        <v>316</v>
      </c>
      <c r="AX139" s="151">
        <v>0</v>
      </c>
      <c r="AY139" s="239"/>
      <c r="AZ139" s="78"/>
      <c r="BA139" s="78"/>
      <c r="BB139" s="145" t="s">
        <v>322</v>
      </c>
      <c r="BC139" s="146">
        <v>4000</v>
      </c>
      <c r="BD139" s="186"/>
      <c r="BE139" s="146">
        <v>4000</v>
      </c>
      <c r="BF139" s="189">
        <f t="shared" si="21"/>
        <v>0</v>
      </c>
      <c r="BG139" s="218"/>
      <c r="BH139" s="189"/>
      <c r="BI139" s="145" t="s">
        <v>322</v>
      </c>
      <c r="BJ139" s="146">
        <v>4000</v>
      </c>
      <c r="BK139" s="150" t="s">
        <v>322</v>
      </c>
      <c r="BL139" s="151">
        <f t="shared" si="19"/>
        <v>0</v>
      </c>
      <c r="BR139" s="145" t="s">
        <v>322</v>
      </c>
      <c r="BS139" s="146">
        <v>4000</v>
      </c>
      <c r="CA139" s="145" t="s">
        <v>322</v>
      </c>
      <c r="CB139" s="146">
        <v>0</v>
      </c>
    </row>
    <row r="140" spans="1:80" ht="24" thickBot="1" thickTop="1">
      <c r="A140" s="7">
        <f t="shared" si="14"/>
        <v>135</v>
      </c>
      <c r="B140" s="25" t="s">
        <v>152</v>
      </c>
      <c r="C140" s="260"/>
      <c r="D140" s="117">
        <f>SUM(D107:D119)+D139</f>
        <v>451307</v>
      </c>
      <c r="E140" s="260"/>
      <c r="F140" s="117">
        <f>SUM(F107:F119)+F139</f>
        <v>449357</v>
      </c>
      <c r="G140" s="117"/>
      <c r="H140" s="117">
        <f>SUM(H107:H119)+H139</f>
        <v>396282</v>
      </c>
      <c r="I140" s="163"/>
      <c r="J140" s="119">
        <f>SUM(J107:J119)+J139</f>
        <v>232972.95</v>
      </c>
      <c r="K140" s="163"/>
      <c r="L140" s="184">
        <f>SUM(L107:L119)+L139</f>
        <v>441980</v>
      </c>
      <c r="M140" s="184"/>
      <c r="N140" s="119">
        <f>SUM(N107:N119)+N139</f>
        <v>460496.83</v>
      </c>
      <c r="O140" s="25"/>
      <c r="P140" s="119">
        <f>SUM(P107:P119)+P139</f>
        <v>465524.76</v>
      </c>
      <c r="Q140" s="119"/>
      <c r="R140" s="119">
        <f>SUM(R107:R119)+R139</f>
        <v>468334.16000000003</v>
      </c>
      <c r="S140" s="119"/>
      <c r="T140" s="117">
        <f>SUM(T107:T119)+T139</f>
        <v>498035.69</v>
      </c>
      <c r="U140" s="118"/>
      <c r="V140" s="117">
        <f>SUM(V107:V119)+V139</f>
        <v>431334.43999999994</v>
      </c>
      <c r="W140" s="118"/>
      <c r="X140" s="117">
        <f>SUM(X107:X119)+X139</f>
        <v>537067.17</v>
      </c>
      <c r="Y140" s="118"/>
      <c r="AB140" s="7">
        <f t="shared" si="20"/>
        <v>1950</v>
      </c>
      <c r="AD140" s="145"/>
      <c r="AE140" s="145"/>
      <c r="AG140" s="235"/>
      <c r="AH140" s="236"/>
      <c r="AI140" s="145"/>
      <c r="AJ140" s="145" t="s">
        <v>323</v>
      </c>
      <c r="AK140" s="157">
        <v>20664.73</v>
      </c>
      <c r="AL140" s="189" t="s">
        <v>444</v>
      </c>
      <c r="AM140" s="189"/>
      <c r="AN140" s="145" t="s">
        <v>323</v>
      </c>
      <c r="AO140" s="157">
        <v>-340.1</v>
      </c>
      <c r="AP140" s="145"/>
      <c r="AR140" s="150" t="s">
        <v>323</v>
      </c>
      <c r="AS140" s="151">
        <f t="shared" si="18"/>
        <v>0</v>
      </c>
      <c r="AT140" s="222"/>
      <c r="AW140" s="150" t="s">
        <v>317</v>
      </c>
      <c r="AX140" s="151">
        <v>35000</v>
      </c>
      <c r="AY140" s="239"/>
      <c r="AZ140" s="78"/>
      <c r="BA140" s="78"/>
      <c r="BB140" s="145" t="s">
        <v>323</v>
      </c>
      <c r="BC140" s="157">
        <v>0</v>
      </c>
      <c r="BD140" s="186"/>
      <c r="BE140" s="157">
        <v>0</v>
      </c>
      <c r="BF140" s="189">
        <f t="shared" si="21"/>
        <v>0</v>
      </c>
      <c r="BG140" s="218"/>
      <c r="BH140" s="189"/>
      <c r="BI140" s="145" t="s">
        <v>323</v>
      </c>
      <c r="BJ140" s="157">
        <v>-340.1</v>
      </c>
      <c r="BK140" s="150" t="s">
        <v>323</v>
      </c>
      <c r="BL140" s="151">
        <f t="shared" si="19"/>
        <v>0</v>
      </c>
      <c r="BR140" s="145" t="s">
        <v>323</v>
      </c>
      <c r="BS140" s="157">
        <v>-340.1</v>
      </c>
      <c r="CA140" s="145" t="s">
        <v>323</v>
      </c>
      <c r="CB140" s="157">
        <v>20664.73</v>
      </c>
    </row>
    <row r="141" spans="1:80" ht="23.25" thickTop="1">
      <c r="A141" s="7">
        <f t="shared" si="14"/>
        <v>136</v>
      </c>
      <c r="B141" s="15" t="s">
        <v>130</v>
      </c>
      <c r="C141" s="166"/>
      <c r="D141" s="114"/>
      <c r="E141" s="166"/>
      <c r="F141" s="114"/>
      <c r="G141" s="114"/>
      <c r="H141" s="114"/>
      <c r="I141" s="169"/>
      <c r="J141" s="116"/>
      <c r="K141" s="169"/>
      <c r="L141" s="201"/>
      <c r="M141" s="207"/>
      <c r="N141" s="116"/>
      <c r="O141" s="15"/>
      <c r="P141" s="116"/>
      <c r="Q141" s="116"/>
      <c r="R141" s="116"/>
      <c r="S141" s="116"/>
      <c r="T141" s="114"/>
      <c r="U141" s="112"/>
      <c r="V141" s="114"/>
      <c r="W141" s="112"/>
      <c r="X141" s="114"/>
      <c r="Y141" s="112"/>
      <c r="AB141" s="7">
        <f t="shared" si="20"/>
        <v>0</v>
      </c>
      <c r="AG141" s="235"/>
      <c r="AH141" s="236"/>
      <c r="AI141" s="145"/>
      <c r="AJ141" s="7"/>
      <c r="AK141" s="146">
        <v>349090</v>
      </c>
      <c r="AL141" s="189">
        <f>SUM(AK86:AK140)</f>
        <v>345517.36</v>
      </c>
      <c r="AM141" s="189">
        <f>AL141-AK141</f>
        <v>-3572.640000000014</v>
      </c>
      <c r="AO141" s="146">
        <v>1259919.38</v>
      </c>
      <c r="AP141" s="145"/>
      <c r="AR141" s="150" t="s">
        <v>216</v>
      </c>
      <c r="AS141" s="153"/>
      <c r="AT141" s="185">
        <f>SUM(AS86:AS140)</f>
        <v>1008510.5700000001</v>
      </c>
      <c r="AW141" s="150" t="s">
        <v>318</v>
      </c>
      <c r="AX141" s="151"/>
      <c r="AY141" s="239"/>
      <c r="AZ141" s="78"/>
      <c r="BA141" s="78"/>
      <c r="BB141" s="145" t="s">
        <v>324</v>
      </c>
      <c r="BC141" s="146">
        <v>1008771.83</v>
      </c>
      <c r="BD141" s="186"/>
      <c r="BE141" s="146">
        <v>1008771.83</v>
      </c>
      <c r="BF141" s="189">
        <f t="shared" si="21"/>
        <v>0</v>
      </c>
      <c r="BG141" s="218"/>
      <c r="BH141" s="189"/>
      <c r="BI141" s="145" t="s">
        <v>324</v>
      </c>
      <c r="BJ141" s="146">
        <v>1177540.48</v>
      </c>
      <c r="BK141" s="150" t="s">
        <v>216</v>
      </c>
      <c r="BL141" s="153"/>
      <c r="BR141" s="145" t="s">
        <v>324</v>
      </c>
      <c r="BS141" s="146">
        <v>1179815.23</v>
      </c>
      <c r="CA141" s="145" t="s">
        <v>324</v>
      </c>
      <c r="CB141" s="146">
        <v>349090</v>
      </c>
    </row>
    <row r="142" spans="1:80" ht="8.25" customHeight="1">
      <c r="A142" s="7">
        <f t="shared" si="14"/>
        <v>137</v>
      </c>
      <c r="C142" s="170"/>
      <c r="D142" s="114"/>
      <c r="E142" s="170"/>
      <c r="F142" s="114"/>
      <c r="G142" s="114"/>
      <c r="H142" s="114"/>
      <c r="I142" s="170"/>
      <c r="J142" s="116"/>
      <c r="K142" s="170"/>
      <c r="L142" s="199"/>
      <c r="M142" s="204"/>
      <c r="N142" s="116"/>
      <c r="P142" s="116"/>
      <c r="Q142" s="116"/>
      <c r="R142" s="116"/>
      <c r="S142" s="116"/>
      <c r="T142" s="114"/>
      <c r="U142" s="112"/>
      <c r="V142" s="114"/>
      <c r="W142" s="112"/>
      <c r="X142" s="114"/>
      <c r="Y142" s="112"/>
      <c r="AB142" s="7">
        <f t="shared" si="20"/>
        <v>0</v>
      </c>
      <c r="AG142" s="235"/>
      <c r="AH142" s="236"/>
      <c r="AI142" s="145"/>
      <c r="AJ142" s="145"/>
      <c r="AK142" s="146"/>
      <c r="AL142" s="189"/>
      <c r="AM142" s="189"/>
      <c r="AN142" s="145"/>
      <c r="AO142" s="146"/>
      <c r="AR142" s="150"/>
      <c r="AS142" s="151"/>
      <c r="AT142" s="222"/>
      <c r="AW142" s="150" t="s">
        <v>319</v>
      </c>
      <c r="AX142" s="151">
        <v>0</v>
      </c>
      <c r="AY142" s="239"/>
      <c r="AZ142" s="78"/>
      <c r="BA142" s="78"/>
      <c r="BB142" s="145" t="s">
        <v>216</v>
      </c>
      <c r="BC142" s="146"/>
      <c r="BD142" s="186"/>
      <c r="BE142" s="146"/>
      <c r="BF142" s="189">
        <f t="shared" si="21"/>
        <v>0</v>
      </c>
      <c r="BG142" s="218"/>
      <c r="BH142" s="189"/>
      <c r="BI142" s="145" t="s">
        <v>216</v>
      </c>
      <c r="BJ142" s="146"/>
      <c r="BK142" s="150"/>
      <c r="BL142" s="151"/>
      <c r="BR142" s="145" t="s">
        <v>216</v>
      </c>
      <c r="BS142" s="146"/>
      <c r="CA142" s="145" t="s">
        <v>216</v>
      </c>
      <c r="CB142" s="146"/>
    </row>
    <row r="143" spans="1:80" ht="23.25">
      <c r="A143" s="7">
        <f t="shared" si="14"/>
        <v>138</v>
      </c>
      <c r="B143" s="17" t="s">
        <v>140</v>
      </c>
      <c r="C143" s="169"/>
      <c r="D143" s="132">
        <f>D12+D24+D29+D34+D40+D50+D75+D106+D140+D141</f>
        <v>3761833.3049999997</v>
      </c>
      <c r="E143" s="169"/>
      <c r="F143" s="132">
        <f>F12+F24+F29+F34+F40+F50+F75+F106+F140+F141</f>
        <v>3737358.2224000003</v>
      </c>
      <c r="G143" s="132"/>
      <c r="H143" s="132">
        <f>H12+H24+H29+H34+H40+H50+H75+H106+H140+H141</f>
        <v>3335371.2224000003</v>
      </c>
      <c r="I143" s="177"/>
      <c r="J143" s="133">
        <f>J12+J24+J29+J34+J40+J50+J75+J106+J140+J141</f>
        <v>2063665.7100000002</v>
      </c>
      <c r="K143" s="177"/>
      <c r="L143" s="208">
        <f>L12+L24+L29+L34+L40+L50+L75+L106+L140+L141</f>
        <v>3677118.3279999997</v>
      </c>
      <c r="M143" s="208"/>
      <c r="N143" s="133">
        <f>N12+N24+N29+N34+N40+N50+N75+N106+N140+N141</f>
        <v>3656653.4299999997</v>
      </c>
      <c r="O143" s="17"/>
      <c r="P143" s="133">
        <f>P12+P24+P29+P34+P40+P50+P75+P106+P140+P141</f>
        <v>3492349.92</v>
      </c>
      <c r="Q143" s="133"/>
      <c r="R143" s="133">
        <f>R12+R24+R29+R34+R40+R50+R75+R106+R140+R141</f>
        <v>3638672.45</v>
      </c>
      <c r="S143" s="133"/>
      <c r="T143" s="132">
        <f>T12+T24+T29+T34+T40+T50+T75+T106+T140+T141</f>
        <v>3928424.1300000004</v>
      </c>
      <c r="U143" s="112"/>
      <c r="V143" s="132">
        <f>V12+V24+V29+V34+V40+V50+V75+V106+V140+V141</f>
        <v>3775505.0100000002</v>
      </c>
      <c r="W143" s="112"/>
      <c r="X143" s="132">
        <f>X12+X24+X29+X34+X40+X50+X75+X106+X140+X141</f>
        <v>3790729.63</v>
      </c>
      <c r="Y143" s="112"/>
      <c r="AB143" s="7">
        <f t="shared" si="20"/>
        <v>24475.082599999383</v>
      </c>
      <c r="AG143" s="235"/>
      <c r="AH143" s="236"/>
      <c r="AI143" s="145"/>
      <c r="AJ143" s="7"/>
      <c r="AK143" s="146"/>
      <c r="AL143" s="189"/>
      <c r="AM143" s="189"/>
      <c r="AO143" s="146"/>
      <c r="AR143" s="150" t="s">
        <v>216</v>
      </c>
      <c r="AS143" s="151"/>
      <c r="AT143" s="222"/>
      <c r="AW143" s="150" t="s">
        <v>320</v>
      </c>
      <c r="AX143" s="151">
        <v>283190</v>
      </c>
      <c r="AY143" s="239"/>
      <c r="AZ143" s="78"/>
      <c r="BA143" s="78"/>
      <c r="BB143" s="145" t="s">
        <v>216</v>
      </c>
      <c r="BC143" s="146"/>
      <c r="BD143" s="186"/>
      <c r="BE143" s="146"/>
      <c r="BF143" s="189">
        <f t="shared" si="21"/>
        <v>0</v>
      </c>
      <c r="BG143" s="218"/>
      <c r="BH143" s="189"/>
      <c r="BI143" s="145" t="s">
        <v>216</v>
      </c>
      <c r="BJ143" s="146"/>
      <c r="BK143" s="150" t="s">
        <v>216</v>
      </c>
      <c r="BL143" s="151"/>
      <c r="BR143" s="145" t="s">
        <v>216</v>
      </c>
      <c r="BS143" s="146"/>
      <c r="CA143" s="145" t="s">
        <v>216</v>
      </c>
      <c r="CB143" s="146"/>
    </row>
    <row r="144" spans="1:80" ht="14.25" customHeight="1">
      <c r="A144" s="7">
        <f t="shared" si="14"/>
        <v>139</v>
      </c>
      <c r="C144" s="170"/>
      <c r="D144" s="114"/>
      <c r="E144" s="170"/>
      <c r="F144" s="114"/>
      <c r="G144" s="114"/>
      <c r="H144" s="114"/>
      <c r="I144" s="170"/>
      <c r="J144" s="116"/>
      <c r="K144" s="170"/>
      <c r="L144" s="199"/>
      <c r="M144" s="204"/>
      <c r="N144" s="116"/>
      <c r="P144" s="116"/>
      <c r="Q144" s="116"/>
      <c r="R144" s="116"/>
      <c r="S144" s="116"/>
      <c r="T144" s="114"/>
      <c r="U144" s="112"/>
      <c r="V144" s="114"/>
      <c r="W144" s="112"/>
      <c r="X144" s="114"/>
      <c r="Y144" s="112"/>
      <c r="AB144" s="7">
        <f t="shared" si="20"/>
        <v>0</v>
      </c>
      <c r="AG144" s="235"/>
      <c r="AH144" s="236"/>
      <c r="AI144" s="145"/>
      <c r="AJ144" s="145" t="s">
        <v>325</v>
      </c>
      <c r="AK144" s="146">
        <v>196346.69</v>
      </c>
      <c r="AL144" s="189"/>
      <c r="AM144" s="189"/>
      <c r="AN144" s="145" t="s">
        <v>325</v>
      </c>
      <c r="AO144" s="146">
        <v>260090.68</v>
      </c>
      <c r="AP144" s="145"/>
      <c r="AR144" s="150" t="s">
        <v>325</v>
      </c>
      <c r="AS144" s="151">
        <f>BC144</f>
        <v>252434.93</v>
      </c>
      <c r="AT144" s="222"/>
      <c r="AW144" s="150" t="s">
        <v>321</v>
      </c>
      <c r="AX144" s="151">
        <v>11396.13</v>
      </c>
      <c r="AY144" s="239"/>
      <c r="AZ144" s="78"/>
      <c r="BA144" s="78"/>
      <c r="BB144" s="145" t="s">
        <v>325</v>
      </c>
      <c r="BC144" s="146">
        <v>252434.93</v>
      </c>
      <c r="BD144" s="186"/>
      <c r="BE144" s="146">
        <v>252434.93</v>
      </c>
      <c r="BF144" s="189">
        <f t="shared" si="21"/>
        <v>0</v>
      </c>
      <c r="BG144" s="218"/>
      <c r="BH144" s="189"/>
      <c r="BI144" s="145" t="s">
        <v>325</v>
      </c>
      <c r="BJ144" s="146">
        <v>260090.68</v>
      </c>
      <c r="BK144" s="150" t="s">
        <v>325</v>
      </c>
      <c r="BL144" s="151">
        <f>BV144</f>
        <v>0</v>
      </c>
      <c r="BR144" s="145" t="s">
        <v>325</v>
      </c>
      <c r="BS144" s="146">
        <v>260090.68</v>
      </c>
      <c r="CA144" s="145" t="s">
        <v>325</v>
      </c>
      <c r="CB144" s="146">
        <v>196346.69</v>
      </c>
    </row>
    <row r="145" spans="1:80" ht="22.5">
      <c r="A145" s="7">
        <f t="shared" si="14"/>
        <v>140</v>
      </c>
      <c r="B145" s="56" t="s">
        <v>52</v>
      </c>
      <c r="C145" s="177"/>
      <c r="D145" s="114"/>
      <c r="E145" s="177"/>
      <c r="F145" s="114"/>
      <c r="G145" s="114"/>
      <c r="H145" s="114"/>
      <c r="I145" s="178"/>
      <c r="J145" s="116"/>
      <c r="K145" s="178"/>
      <c r="L145" s="228"/>
      <c r="M145" s="209"/>
      <c r="N145" s="116"/>
      <c r="O145" s="56"/>
      <c r="P145" s="116"/>
      <c r="Q145" s="116"/>
      <c r="R145" s="116"/>
      <c r="S145" s="116"/>
      <c r="T145" s="114"/>
      <c r="U145" s="112"/>
      <c r="V145" s="114"/>
      <c r="W145" s="112"/>
      <c r="X145" s="114"/>
      <c r="Y145" s="112"/>
      <c r="AB145" s="7">
        <f t="shared" si="20"/>
        <v>0</v>
      </c>
      <c r="AG145" s="235"/>
      <c r="AH145" s="236"/>
      <c r="AI145" s="145"/>
      <c r="AJ145" s="145" t="s">
        <v>216</v>
      </c>
      <c r="AK145" s="146"/>
      <c r="AL145" s="189"/>
      <c r="AM145" s="189"/>
      <c r="AN145" s="145" t="s">
        <v>216</v>
      </c>
      <c r="AO145" s="146"/>
      <c r="AP145" s="145"/>
      <c r="AR145" s="150" t="s">
        <v>216</v>
      </c>
      <c r="AS145" s="151"/>
      <c r="AT145" s="222"/>
      <c r="AW145" s="150" t="s">
        <v>322</v>
      </c>
      <c r="AX145" s="151">
        <v>4000</v>
      </c>
      <c r="AY145" s="239"/>
      <c r="AZ145" s="78"/>
      <c r="BA145" s="78"/>
      <c r="BB145" s="145" t="s">
        <v>216</v>
      </c>
      <c r="BC145" s="146"/>
      <c r="BD145" s="186"/>
      <c r="BE145" s="146"/>
      <c r="BF145" s="189">
        <f t="shared" si="21"/>
        <v>0</v>
      </c>
      <c r="BG145" s="218"/>
      <c r="BH145" s="189"/>
      <c r="BI145" s="145" t="s">
        <v>216</v>
      </c>
      <c r="BJ145" s="146"/>
      <c r="BK145" s="150" t="s">
        <v>216</v>
      </c>
      <c r="BL145" s="151"/>
      <c r="BR145" s="145" t="s">
        <v>216</v>
      </c>
      <c r="BS145" s="146"/>
      <c r="CA145" s="145" t="s">
        <v>216</v>
      </c>
      <c r="CB145" s="146"/>
    </row>
    <row r="146" spans="1:80" ht="22.5">
      <c r="A146" s="7">
        <f t="shared" si="14"/>
        <v>141</v>
      </c>
      <c r="B146" s="14" t="s">
        <v>97</v>
      </c>
      <c r="C146" s="170"/>
      <c r="D146" s="114"/>
      <c r="E146" s="170"/>
      <c r="F146" s="114"/>
      <c r="G146" s="114"/>
      <c r="H146" s="114"/>
      <c r="I146" s="176"/>
      <c r="J146" s="116"/>
      <c r="K146" s="176"/>
      <c r="L146" s="229"/>
      <c r="M146" s="210"/>
      <c r="N146" s="116"/>
      <c r="O146" s="14"/>
      <c r="P146" s="116"/>
      <c r="Q146" s="116"/>
      <c r="R146" s="116"/>
      <c r="S146" s="116"/>
      <c r="T146" s="114"/>
      <c r="U146" s="112"/>
      <c r="V146" s="114"/>
      <c r="W146" s="112"/>
      <c r="X146" s="114"/>
      <c r="Y146" s="112"/>
      <c r="AB146" s="7">
        <f t="shared" si="20"/>
        <v>0</v>
      </c>
      <c r="AG146" s="235"/>
      <c r="AH146" s="236"/>
      <c r="AI146" s="145"/>
      <c r="AJ146" s="145" t="s">
        <v>326</v>
      </c>
      <c r="AK146" s="146">
        <v>230162.58</v>
      </c>
      <c r="AL146" s="189"/>
      <c r="AM146" s="189"/>
      <c r="AN146" s="145" t="s">
        <v>326</v>
      </c>
      <c r="AO146" s="146">
        <v>338081.76</v>
      </c>
      <c r="AP146" s="145"/>
      <c r="AR146" s="150" t="s">
        <v>326</v>
      </c>
      <c r="AS146" s="151">
        <f>BC146</f>
        <v>371925.01</v>
      </c>
      <c r="AT146" s="185"/>
      <c r="AW146" s="150" t="s">
        <v>323</v>
      </c>
      <c r="AX146" s="153">
        <v>0</v>
      </c>
      <c r="AY146" s="239"/>
      <c r="AZ146" s="78"/>
      <c r="BA146" s="78"/>
      <c r="BB146" s="145" t="s">
        <v>326</v>
      </c>
      <c r="BC146" s="146">
        <v>371925.01</v>
      </c>
      <c r="BD146" s="186"/>
      <c r="BE146" s="146">
        <v>371925.01</v>
      </c>
      <c r="BF146" s="189">
        <f t="shared" si="21"/>
        <v>0</v>
      </c>
      <c r="BG146" s="218"/>
      <c r="BH146" s="189"/>
      <c r="BI146" s="145" t="s">
        <v>326</v>
      </c>
      <c r="BJ146" s="146">
        <v>336925.82</v>
      </c>
      <c r="BK146" s="150" t="s">
        <v>326</v>
      </c>
      <c r="BL146" s="151">
        <f>BV146</f>
        <v>0</v>
      </c>
      <c r="BR146" s="145" t="s">
        <v>326</v>
      </c>
      <c r="BS146" s="146">
        <v>338081.76</v>
      </c>
      <c r="CA146" s="145" t="s">
        <v>326</v>
      </c>
      <c r="CB146" s="146">
        <v>230162.58</v>
      </c>
    </row>
    <row r="147" spans="1:80" ht="23.25">
      <c r="A147" s="7">
        <f t="shared" si="14"/>
        <v>142</v>
      </c>
      <c r="B147" s="3" t="s">
        <v>16</v>
      </c>
      <c r="C147" s="178"/>
      <c r="D147" s="114">
        <v>23000</v>
      </c>
      <c r="E147" s="178"/>
      <c r="F147" s="114">
        <v>23000</v>
      </c>
      <c r="G147" s="114"/>
      <c r="H147" s="360">
        <v>5000</v>
      </c>
      <c r="I147" s="166"/>
      <c r="J147" s="116">
        <f>AK185</f>
        <v>0</v>
      </c>
      <c r="K147" s="166"/>
      <c r="L147" s="199">
        <v>27000</v>
      </c>
      <c r="M147" s="204"/>
      <c r="N147" s="116">
        <f>AO185</f>
        <v>18110.5</v>
      </c>
      <c r="O147" s="3"/>
      <c r="P147" s="116">
        <f>AS185</f>
        <v>21284.5</v>
      </c>
      <c r="Q147" s="116"/>
      <c r="R147" s="116">
        <v>26117.88</v>
      </c>
      <c r="S147" s="116"/>
      <c r="T147" s="114">
        <v>35547.97</v>
      </c>
      <c r="U147" s="112"/>
      <c r="V147" s="114">
        <v>24779.08</v>
      </c>
      <c r="W147" s="112"/>
      <c r="X147" s="114">
        <v>29801.37</v>
      </c>
      <c r="Y147" s="112"/>
      <c r="AB147" s="7">
        <f t="shared" si="20"/>
        <v>0</v>
      </c>
      <c r="AG147" s="235"/>
      <c r="AH147" s="236"/>
      <c r="AI147" s="145"/>
      <c r="AJ147" s="145" t="s">
        <v>327</v>
      </c>
      <c r="AK147" s="146">
        <v>0</v>
      </c>
      <c r="AL147" s="189"/>
      <c r="AM147" s="189"/>
      <c r="AN147" s="145" t="s">
        <v>327</v>
      </c>
      <c r="AO147" s="146">
        <v>0</v>
      </c>
      <c r="AP147" s="145"/>
      <c r="AR147" s="150" t="s">
        <v>327</v>
      </c>
      <c r="AS147" s="151">
        <f>BC147</f>
        <v>240</v>
      </c>
      <c r="AT147" s="222"/>
      <c r="AY147" s="239"/>
      <c r="AZ147" s="78"/>
      <c r="BA147" s="78"/>
      <c r="BB147" s="145" t="s">
        <v>327</v>
      </c>
      <c r="BC147" s="146">
        <v>240</v>
      </c>
      <c r="BD147" s="186"/>
      <c r="BE147" s="146">
        <v>240</v>
      </c>
      <c r="BF147" s="189">
        <f t="shared" si="21"/>
        <v>0</v>
      </c>
      <c r="BG147" s="218"/>
      <c r="BH147" s="189"/>
      <c r="BI147" s="145" t="s">
        <v>327</v>
      </c>
      <c r="BJ147" s="146">
        <v>0</v>
      </c>
      <c r="BK147" s="150" t="s">
        <v>327</v>
      </c>
      <c r="BL147" s="151">
        <f>BV147</f>
        <v>0</v>
      </c>
      <c r="BR147" s="145" t="s">
        <v>327</v>
      </c>
      <c r="BS147" s="146">
        <v>0</v>
      </c>
      <c r="CA147" s="145" t="s">
        <v>327</v>
      </c>
      <c r="CB147" s="146">
        <v>0</v>
      </c>
    </row>
    <row r="148" spans="1:80" ht="22.5">
      <c r="A148" s="7">
        <f t="shared" si="14"/>
        <v>143</v>
      </c>
      <c r="B148" s="3" t="s">
        <v>17</v>
      </c>
      <c r="C148" s="176"/>
      <c r="D148" s="114">
        <v>4000</v>
      </c>
      <c r="E148" s="176"/>
      <c r="F148" s="114">
        <v>4000</v>
      </c>
      <c r="G148" s="114"/>
      <c r="H148" s="114">
        <v>4000</v>
      </c>
      <c r="I148" s="166"/>
      <c r="J148" s="116">
        <f>AK186</f>
        <v>4000</v>
      </c>
      <c r="K148" s="166"/>
      <c r="L148" s="199">
        <v>4000</v>
      </c>
      <c r="M148" s="204"/>
      <c r="N148" s="116">
        <f>AO186</f>
        <v>4000</v>
      </c>
      <c r="O148" s="3"/>
      <c r="P148" s="116">
        <f>AS186</f>
        <v>4000</v>
      </c>
      <c r="Q148" s="116"/>
      <c r="R148" s="116">
        <v>4000</v>
      </c>
      <c r="S148" s="116"/>
      <c r="T148" s="114">
        <v>4000</v>
      </c>
      <c r="U148" s="112"/>
      <c r="V148" s="114">
        <v>3700</v>
      </c>
      <c r="W148" s="112"/>
      <c r="X148" s="114">
        <v>3700</v>
      </c>
      <c r="Y148" s="112"/>
      <c r="AB148" s="7">
        <f t="shared" si="20"/>
        <v>0</v>
      </c>
      <c r="AG148" s="235"/>
      <c r="AH148" s="236"/>
      <c r="AI148" s="145"/>
      <c r="AJ148" s="145" t="s">
        <v>258</v>
      </c>
      <c r="AK148" s="146"/>
      <c r="AL148" s="189"/>
      <c r="AM148" s="189"/>
      <c r="AN148" s="145" t="s">
        <v>258</v>
      </c>
      <c r="AO148" s="146"/>
      <c r="AP148" s="145"/>
      <c r="AR148" s="150" t="s">
        <v>258</v>
      </c>
      <c r="AS148" s="151"/>
      <c r="AT148" s="222"/>
      <c r="AW148" s="150" t="s">
        <v>324</v>
      </c>
      <c r="AX148" s="151">
        <v>1008771.83</v>
      </c>
      <c r="AY148" s="239"/>
      <c r="AZ148" s="78"/>
      <c r="BA148" s="78"/>
      <c r="BB148" s="145" t="s">
        <v>258</v>
      </c>
      <c r="BC148" s="146"/>
      <c r="BD148" s="186"/>
      <c r="BE148" s="146"/>
      <c r="BF148" s="189">
        <f t="shared" si="21"/>
        <v>0</v>
      </c>
      <c r="BG148" s="218"/>
      <c r="BH148" s="189"/>
      <c r="BI148" s="145" t="s">
        <v>258</v>
      </c>
      <c r="BJ148" s="146"/>
      <c r="BK148" s="150" t="s">
        <v>258</v>
      </c>
      <c r="BL148" s="151"/>
      <c r="BR148" s="145" t="s">
        <v>258</v>
      </c>
      <c r="BS148" s="146"/>
      <c r="CA148" s="145" t="s">
        <v>258</v>
      </c>
      <c r="CB148" s="146"/>
    </row>
    <row r="149" spans="1:80" ht="22.5">
      <c r="A149" s="7">
        <f t="shared" si="14"/>
        <v>144</v>
      </c>
      <c r="B149" s="3" t="s">
        <v>18</v>
      </c>
      <c r="C149" s="166"/>
      <c r="D149" s="114">
        <v>6000</v>
      </c>
      <c r="E149" s="166"/>
      <c r="F149" s="114">
        <v>6000</v>
      </c>
      <c r="G149" s="114"/>
      <c r="H149" s="114">
        <v>6000</v>
      </c>
      <c r="I149" s="166"/>
      <c r="J149" s="116">
        <f>AK202</f>
        <v>0</v>
      </c>
      <c r="K149" s="166"/>
      <c r="L149" s="199">
        <v>7000</v>
      </c>
      <c r="M149" s="204"/>
      <c r="N149" s="116">
        <f>AO202</f>
        <v>0</v>
      </c>
      <c r="O149" s="262"/>
      <c r="P149" s="116">
        <f>AS202</f>
        <v>4033.6</v>
      </c>
      <c r="Q149" s="116"/>
      <c r="R149" s="116">
        <v>5696.09</v>
      </c>
      <c r="S149" s="116"/>
      <c r="T149" s="114">
        <v>6248.59</v>
      </c>
      <c r="U149" s="112"/>
      <c r="V149" s="114">
        <v>9415.55</v>
      </c>
      <c r="W149" s="112"/>
      <c r="X149" s="114">
        <v>10427.32</v>
      </c>
      <c r="Y149" s="112"/>
      <c r="AB149" s="7">
        <f t="shared" si="20"/>
        <v>0</v>
      </c>
      <c r="AG149" s="235"/>
      <c r="AH149" s="236"/>
      <c r="AI149" s="145"/>
      <c r="AJ149" s="145" t="s">
        <v>328</v>
      </c>
      <c r="AK149" s="146">
        <v>160089.18</v>
      </c>
      <c r="AL149" s="189"/>
      <c r="AM149" s="189"/>
      <c r="AN149" s="145" t="s">
        <v>328</v>
      </c>
      <c r="AO149" s="146">
        <v>196882.73</v>
      </c>
      <c r="AP149" s="145"/>
      <c r="AR149" s="150" t="s">
        <v>328</v>
      </c>
      <c r="AS149" s="151">
        <f>BC149</f>
        <v>197150.56</v>
      </c>
      <c r="AT149" s="222"/>
      <c r="AY149" s="239"/>
      <c r="AZ149" s="78"/>
      <c r="BA149" s="78"/>
      <c r="BB149" s="145" t="s">
        <v>328</v>
      </c>
      <c r="BC149" s="146">
        <v>197150.56</v>
      </c>
      <c r="BD149" s="186"/>
      <c r="BE149" s="146">
        <v>197150.56</v>
      </c>
      <c r="BF149" s="189">
        <f t="shared" si="21"/>
        <v>0</v>
      </c>
      <c r="BG149" s="218"/>
      <c r="BH149" s="189"/>
      <c r="BI149" s="145" t="s">
        <v>328</v>
      </c>
      <c r="BJ149" s="146">
        <v>196882.73</v>
      </c>
      <c r="BK149" s="150" t="s">
        <v>328</v>
      </c>
      <c r="BL149" s="151">
        <f>BV149</f>
        <v>0</v>
      </c>
      <c r="BR149" s="145" t="s">
        <v>328</v>
      </c>
      <c r="BS149" s="146">
        <v>196882.73</v>
      </c>
      <c r="CA149" s="145" t="s">
        <v>328</v>
      </c>
      <c r="CB149" s="146">
        <v>160089.18</v>
      </c>
    </row>
    <row r="150" spans="1:80" ht="22.5">
      <c r="A150" s="7">
        <f t="shared" si="14"/>
        <v>145</v>
      </c>
      <c r="B150" s="3" t="s">
        <v>19</v>
      </c>
      <c r="C150" s="166"/>
      <c r="D150" s="114">
        <v>0</v>
      </c>
      <c r="E150" s="166"/>
      <c r="F150" s="114">
        <v>0</v>
      </c>
      <c r="G150" s="114"/>
      <c r="H150" s="114">
        <v>0</v>
      </c>
      <c r="I150" s="166"/>
      <c r="J150" s="116">
        <f>AK201</f>
        <v>0</v>
      </c>
      <c r="K150" s="166"/>
      <c r="L150" s="199">
        <v>0</v>
      </c>
      <c r="M150" s="204"/>
      <c r="N150" s="116">
        <f>AO201</f>
        <v>0</v>
      </c>
      <c r="O150" s="3"/>
      <c r="P150" s="116">
        <f>AS201</f>
        <v>0</v>
      </c>
      <c r="Q150" s="116"/>
      <c r="R150" s="116">
        <v>-2.03</v>
      </c>
      <c r="S150" s="116"/>
      <c r="T150" s="114">
        <f>-0.05</f>
        <v>-0.05</v>
      </c>
      <c r="U150" s="112"/>
      <c r="V150" s="114">
        <v>146.76</v>
      </c>
      <c r="W150" s="112"/>
      <c r="X150" s="114"/>
      <c r="Y150" s="112"/>
      <c r="AB150" s="7">
        <f t="shared" si="20"/>
        <v>0</v>
      </c>
      <c r="AG150" s="78"/>
      <c r="AH150" s="123"/>
      <c r="AI150" s="145"/>
      <c r="AJ150" s="145" t="s">
        <v>329</v>
      </c>
      <c r="AK150" s="146">
        <v>-116220.89</v>
      </c>
      <c r="AL150" s="189"/>
      <c r="AM150" s="189"/>
      <c r="AN150" s="145" t="s">
        <v>329</v>
      </c>
      <c r="AO150" s="146">
        <v>-147404.1</v>
      </c>
      <c r="AP150" s="145"/>
      <c r="AR150" s="150" t="s">
        <v>329</v>
      </c>
      <c r="AS150" s="151">
        <f>BC150</f>
        <v>-96299.57</v>
      </c>
      <c r="AT150" s="222"/>
      <c r="AY150" s="239"/>
      <c r="AZ150" s="78"/>
      <c r="BA150" s="78"/>
      <c r="BB150" s="145" t="s">
        <v>329</v>
      </c>
      <c r="BC150" s="146">
        <v>-96299.57</v>
      </c>
      <c r="BD150" s="186"/>
      <c r="BE150" s="146">
        <v>-96299.57</v>
      </c>
      <c r="BF150" s="189">
        <f t="shared" si="21"/>
        <v>0</v>
      </c>
      <c r="BG150" s="218"/>
      <c r="BH150" s="189"/>
      <c r="BI150" s="145" t="s">
        <v>329</v>
      </c>
      <c r="BJ150" s="146">
        <v>-136496.91</v>
      </c>
      <c r="BK150" s="150" t="s">
        <v>329</v>
      </c>
      <c r="BL150" s="151">
        <f>BV150</f>
        <v>0</v>
      </c>
      <c r="BR150" s="145" t="s">
        <v>329</v>
      </c>
      <c r="BS150" s="146">
        <v>-147404.1</v>
      </c>
      <c r="CA150" s="145" t="s">
        <v>329</v>
      </c>
      <c r="CB150" s="146">
        <v>-116220.89</v>
      </c>
    </row>
    <row r="151" spans="1:80" ht="22.5">
      <c r="A151" s="7">
        <f aca="true" t="shared" si="22" ref="A151:A178">A150+1</f>
        <v>146</v>
      </c>
      <c r="B151" s="3" t="s">
        <v>55</v>
      </c>
      <c r="C151" s="166"/>
      <c r="D151" s="114">
        <v>500</v>
      </c>
      <c r="E151" s="166"/>
      <c r="F151" s="114">
        <v>200</v>
      </c>
      <c r="G151" s="114"/>
      <c r="H151" s="114">
        <v>200</v>
      </c>
      <c r="I151" s="166"/>
      <c r="J151" s="116">
        <f>AK206</f>
        <v>10</v>
      </c>
      <c r="K151" s="166"/>
      <c r="L151" s="199">
        <v>200</v>
      </c>
      <c r="M151" s="204"/>
      <c r="N151" s="116">
        <f>AO206</f>
        <v>60</v>
      </c>
      <c r="O151" s="3"/>
      <c r="P151" s="116">
        <f>AS206</f>
        <v>-105.04</v>
      </c>
      <c r="Q151" s="116"/>
      <c r="R151" s="116">
        <v>40</v>
      </c>
      <c r="S151" s="116"/>
      <c r="T151" s="114">
        <f>-180.13</f>
        <v>-180.13</v>
      </c>
      <c r="U151" s="112"/>
      <c r="V151" s="114">
        <v>107.49</v>
      </c>
      <c r="W151" s="112"/>
      <c r="X151" s="114">
        <v>89.45</v>
      </c>
      <c r="Y151" s="112"/>
      <c r="AB151" s="7">
        <f t="shared" si="20"/>
        <v>300</v>
      </c>
      <c r="AG151" s="235"/>
      <c r="AH151" s="236"/>
      <c r="AI151" s="145"/>
      <c r="AJ151" s="145" t="s">
        <v>216</v>
      </c>
      <c r="AK151" s="157"/>
      <c r="AL151" s="189"/>
      <c r="AM151" s="189"/>
      <c r="AN151" s="145" t="s">
        <v>216</v>
      </c>
      <c r="AO151" s="157"/>
      <c r="AP151" s="145"/>
      <c r="AR151" s="150" t="s">
        <v>216</v>
      </c>
      <c r="AS151" s="151"/>
      <c r="AT151" s="222"/>
      <c r="AW151" s="150" t="s">
        <v>325</v>
      </c>
      <c r="AX151" s="151">
        <v>252434.93</v>
      </c>
      <c r="AY151" s="239"/>
      <c r="AZ151" s="78"/>
      <c r="BA151" s="78"/>
      <c r="BB151" s="145" t="s">
        <v>216</v>
      </c>
      <c r="BC151" s="157"/>
      <c r="BD151" s="186"/>
      <c r="BE151" s="157"/>
      <c r="BF151" s="189">
        <f t="shared" si="21"/>
        <v>0</v>
      </c>
      <c r="BG151" s="218"/>
      <c r="BH151" s="189"/>
      <c r="BI151" s="145" t="s">
        <v>216</v>
      </c>
      <c r="BJ151" s="157"/>
      <c r="BK151" s="150" t="s">
        <v>216</v>
      </c>
      <c r="BL151" s="151"/>
      <c r="BR151" s="145" t="s">
        <v>216</v>
      </c>
      <c r="BS151" s="157"/>
      <c r="CA151" s="145" t="s">
        <v>216</v>
      </c>
      <c r="CB151" s="157"/>
    </row>
    <row r="152" spans="1:80" ht="22.5">
      <c r="A152" s="7">
        <f t="shared" si="22"/>
        <v>147</v>
      </c>
      <c r="B152" s="3" t="s">
        <v>51</v>
      </c>
      <c r="C152" s="166"/>
      <c r="D152" s="114">
        <f>1304619*1.97*0.04</f>
        <v>102803.97720000001</v>
      </c>
      <c r="E152" s="166"/>
      <c r="F152" s="114">
        <v>81000</v>
      </c>
      <c r="G152" s="114"/>
      <c r="H152" s="114">
        <v>90000</v>
      </c>
      <c r="I152" s="166"/>
      <c r="J152" s="116">
        <f>AK199+AK200</f>
        <v>0</v>
      </c>
      <c r="K152" s="166"/>
      <c r="L152" s="199">
        <v>45000</v>
      </c>
      <c r="M152" s="204"/>
      <c r="N152" s="116">
        <f>AO199+AO200</f>
        <v>98054.73</v>
      </c>
      <c r="O152" s="3"/>
      <c r="P152" s="116">
        <f>AS199+AS200</f>
        <v>71041.78</v>
      </c>
      <c r="Q152" s="116"/>
      <c r="R152" s="116">
        <v>21476.63</v>
      </c>
      <c r="S152" s="116"/>
      <c r="T152" s="114">
        <f>7399.69</f>
        <v>7399.69</v>
      </c>
      <c r="U152" s="112"/>
      <c r="V152" s="114">
        <v>8918.93</v>
      </c>
      <c r="W152" s="112"/>
      <c r="X152" s="114">
        <v>22044.2</v>
      </c>
      <c r="Y152" s="112"/>
      <c r="AB152" s="7">
        <f t="shared" si="20"/>
        <v>21803.97720000001</v>
      </c>
      <c r="AG152" s="235"/>
      <c r="AH152" s="236"/>
      <c r="AI152" s="145"/>
      <c r="AJ152" s="145" t="s">
        <v>330</v>
      </c>
      <c r="AK152" s="146">
        <v>382640.98</v>
      </c>
      <c r="AL152" s="189">
        <f>AK144+AK146-AK149-AK150</f>
        <v>382640.98000000004</v>
      </c>
      <c r="AM152" s="189"/>
      <c r="AN152" s="145" t="s">
        <v>330</v>
      </c>
      <c r="AO152" s="146">
        <v>548693.81</v>
      </c>
      <c r="AP152" s="145"/>
      <c r="AR152" s="150" t="s">
        <v>330</v>
      </c>
      <c r="AS152" s="151">
        <f>BC152</f>
        <v>523748.95</v>
      </c>
      <c r="AT152" s="185">
        <f>AS144+AS146+AS147-AS149-AS150</f>
        <v>523748.94999999995</v>
      </c>
      <c r="AW152" s="150" t="s">
        <v>216</v>
      </c>
      <c r="AX152" s="151"/>
      <c r="AY152" s="239"/>
      <c r="AZ152" s="78"/>
      <c r="BA152" s="78"/>
      <c r="BB152" s="145" t="s">
        <v>330</v>
      </c>
      <c r="BC152" s="146">
        <v>523748.95</v>
      </c>
      <c r="BD152" s="186"/>
      <c r="BE152" s="146">
        <v>523748.95</v>
      </c>
      <c r="BF152" s="189">
        <f t="shared" si="21"/>
        <v>0</v>
      </c>
      <c r="BG152" s="218"/>
      <c r="BH152" s="189"/>
      <c r="BI152" s="145" t="s">
        <v>330</v>
      </c>
      <c r="BJ152" s="146">
        <v>536630.68</v>
      </c>
      <c r="BK152" s="150" t="s">
        <v>330</v>
      </c>
      <c r="BL152" s="151">
        <f>BV152</f>
        <v>0</v>
      </c>
      <c r="BR152" s="145" t="s">
        <v>330</v>
      </c>
      <c r="BS152" s="146">
        <v>548693.81</v>
      </c>
      <c r="CA152" s="145" t="s">
        <v>330</v>
      </c>
      <c r="CB152" s="146">
        <v>382640.98</v>
      </c>
    </row>
    <row r="153" spans="1:80" ht="22.5">
      <c r="A153" s="7">
        <f t="shared" si="22"/>
        <v>148</v>
      </c>
      <c r="B153" s="2" t="s">
        <v>61</v>
      </c>
      <c r="C153" s="166"/>
      <c r="D153" s="114">
        <f>1938980*1.97*0.04</f>
        <v>152791.624</v>
      </c>
      <c r="E153" s="166"/>
      <c r="F153" s="114">
        <f>1659705*1.973*0.04</f>
        <v>130983.91860000002</v>
      </c>
      <c r="G153" s="114"/>
      <c r="H153" s="114">
        <v>140000</v>
      </c>
      <c r="I153" s="172"/>
      <c r="J153" s="116">
        <f>AK210</f>
        <v>0</v>
      </c>
      <c r="K153" s="172"/>
      <c r="L153" s="199">
        <v>70000</v>
      </c>
      <c r="M153" s="204"/>
      <c r="N153" s="116">
        <f>AO210</f>
        <v>155655.98</v>
      </c>
      <c r="O153" s="2"/>
      <c r="P153" s="116">
        <f>AS210</f>
        <v>119916.94</v>
      </c>
      <c r="Q153" s="116"/>
      <c r="R153" s="116">
        <v>63330.55</v>
      </c>
      <c r="S153" s="116"/>
      <c r="T153" s="114">
        <v>34258.76</v>
      </c>
      <c r="U153" s="112"/>
      <c r="V153" s="114">
        <v>26528.68</v>
      </c>
      <c r="W153" s="112"/>
      <c r="X153" s="114">
        <v>27763.78</v>
      </c>
      <c r="Y153" s="112"/>
      <c r="AB153" s="7">
        <f t="shared" si="20"/>
        <v>21807.70539999999</v>
      </c>
      <c r="AG153" s="235"/>
      <c r="AH153" s="236"/>
      <c r="AI153" s="145"/>
      <c r="AJ153" s="145" t="s">
        <v>216</v>
      </c>
      <c r="AK153" s="146"/>
      <c r="AL153" s="189"/>
      <c r="AM153" s="189"/>
      <c r="AN153" s="145" t="s">
        <v>216</v>
      </c>
      <c r="AO153" s="146"/>
      <c r="AR153" s="150" t="s">
        <v>216</v>
      </c>
      <c r="AS153" s="151"/>
      <c r="AT153" s="222"/>
      <c r="AW153" s="150" t="s">
        <v>326</v>
      </c>
      <c r="AX153" s="151">
        <v>371925.01</v>
      </c>
      <c r="AY153" s="239"/>
      <c r="AZ153" s="78"/>
      <c r="BA153" s="78"/>
      <c r="BB153" s="145" t="s">
        <v>216</v>
      </c>
      <c r="BC153" s="146"/>
      <c r="BD153" s="186"/>
      <c r="BE153" s="146"/>
      <c r="BF153" s="189">
        <f t="shared" si="21"/>
        <v>0</v>
      </c>
      <c r="BG153" s="218"/>
      <c r="BH153" s="189"/>
      <c r="BI153" s="145" t="s">
        <v>216</v>
      </c>
      <c r="BJ153" s="146"/>
      <c r="BK153" s="150" t="s">
        <v>216</v>
      </c>
      <c r="BL153" s="151"/>
      <c r="BR153" s="145" t="s">
        <v>216</v>
      </c>
      <c r="BS153" s="146"/>
      <c r="CA153" s="145" t="s">
        <v>216</v>
      </c>
      <c r="CB153" s="146"/>
    </row>
    <row r="154" spans="1:80" ht="22.5">
      <c r="A154" s="7">
        <f t="shared" si="22"/>
        <v>149</v>
      </c>
      <c r="B154" s="3" t="s">
        <v>20</v>
      </c>
      <c r="C154" s="166"/>
      <c r="D154" s="114">
        <v>15000</v>
      </c>
      <c r="E154" s="166"/>
      <c r="F154" s="114">
        <v>24000</v>
      </c>
      <c r="G154" s="114"/>
      <c r="H154" s="114">
        <v>24000</v>
      </c>
      <c r="I154" s="166"/>
      <c r="J154" s="116">
        <f>AK205</f>
        <v>13490.49</v>
      </c>
      <c r="K154" s="166"/>
      <c r="L154" s="199">
        <v>15000</v>
      </c>
      <c r="M154" s="204"/>
      <c r="N154" s="116">
        <f>AO205</f>
        <v>22164.34</v>
      </c>
      <c r="O154" s="3"/>
      <c r="P154" s="116">
        <f>AS205</f>
        <v>35438.53</v>
      </c>
      <c r="Q154" s="116"/>
      <c r="R154" s="116">
        <v>27438.42</v>
      </c>
      <c r="S154" s="116"/>
      <c r="T154" s="114">
        <f>67470.38</f>
        <v>67470.38</v>
      </c>
      <c r="U154" s="112"/>
      <c r="V154" s="114">
        <v>105364.8</v>
      </c>
      <c r="W154" s="112"/>
      <c r="X154" s="114">
        <v>48517.59</v>
      </c>
      <c r="Y154" s="112"/>
      <c r="AB154" s="7">
        <f t="shared" si="20"/>
        <v>-9000</v>
      </c>
      <c r="AG154" s="235"/>
      <c r="AH154" s="236"/>
      <c r="AI154" s="145"/>
      <c r="AJ154" s="145" t="s">
        <v>216</v>
      </c>
      <c r="AK154" s="146"/>
      <c r="AL154" s="189"/>
      <c r="AM154" s="189"/>
      <c r="AN154" s="145" t="s">
        <v>216</v>
      </c>
      <c r="AO154" s="146"/>
      <c r="AR154" s="150" t="s">
        <v>216</v>
      </c>
      <c r="AS154" s="151"/>
      <c r="AT154" s="222"/>
      <c r="AW154" s="150" t="s">
        <v>327</v>
      </c>
      <c r="AX154" s="151">
        <v>240</v>
      </c>
      <c r="AY154" s="239"/>
      <c r="AZ154" s="78"/>
      <c r="BA154" s="78"/>
      <c r="BB154" s="145" t="s">
        <v>216</v>
      </c>
      <c r="BC154" s="146"/>
      <c r="BD154" s="186"/>
      <c r="BE154" s="146"/>
      <c r="BF154" s="189">
        <f t="shared" si="21"/>
        <v>0</v>
      </c>
      <c r="BG154" s="218"/>
      <c r="BH154" s="189"/>
      <c r="BI154" s="145" t="s">
        <v>216</v>
      </c>
      <c r="BJ154" s="146"/>
      <c r="BK154" s="150" t="s">
        <v>216</v>
      </c>
      <c r="BL154" s="151"/>
      <c r="BR154" s="145" t="s">
        <v>216</v>
      </c>
      <c r="BS154" s="146"/>
      <c r="CA154" s="145" t="s">
        <v>216</v>
      </c>
      <c r="CB154" s="146"/>
    </row>
    <row r="155" spans="1:80" ht="22.5">
      <c r="A155" s="7">
        <f t="shared" si="22"/>
        <v>150</v>
      </c>
      <c r="B155" s="3" t="s">
        <v>21</v>
      </c>
      <c r="C155" s="172"/>
      <c r="D155" s="114">
        <v>37000</v>
      </c>
      <c r="E155" s="172"/>
      <c r="F155" s="114">
        <v>36500</v>
      </c>
      <c r="G155" s="114"/>
      <c r="H155" s="114">
        <v>36500</v>
      </c>
      <c r="I155" s="166"/>
      <c r="J155" s="116">
        <f>AK198</f>
        <v>458.58</v>
      </c>
      <c r="K155" s="166"/>
      <c r="L155" s="199">
        <v>36000</v>
      </c>
      <c r="M155" s="204"/>
      <c r="N155" s="116">
        <f>AO198</f>
        <v>35483.64</v>
      </c>
      <c r="O155" s="3"/>
      <c r="P155" s="116">
        <f>AS198</f>
        <v>36435.38</v>
      </c>
      <c r="Q155" s="116"/>
      <c r="R155" s="116">
        <v>36050.54</v>
      </c>
      <c r="S155" s="116"/>
      <c r="T155" s="114">
        <v>34529.27</v>
      </c>
      <c r="U155" s="112"/>
      <c r="V155" s="114">
        <f>30975.81</f>
        <v>30975.81</v>
      </c>
      <c r="W155" s="112"/>
      <c r="X155" s="114">
        <v>34538.64</v>
      </c>
      <c r="Y155" s="112"/>
      <c r="AB155" s="7">
        <f t="shared" si="20"/>
        <v>500</v>
      </c>
      <c r="AG155" s="235"/>
      <c r="AH155" s="236"/>
      <c r="AI155" s="145"/>
      <c r="AJ155" s="145" t="s">
        <v>331</v>
      </c>
      <c r="AK155" s="146">
        <v>711394.68</v>
      </c>
      <c r="AL155" s="189"/>
      <c r="AM155" s="189"/>
      <c r="AN155" s="145" t="s">
        <v>331</v>
      </c>
      <c r="AO155" s="146">
        <v>1083280.19</v>
      </c>
      <c r="AR155" s="150" t="s">
        <v>331</v>
      </c>
      <c r="AS155" s="151">
        <f>BC155</f>
        <v>1098526.19</v>
      </c>
      <c r="AT155" s="222"/>
      <c r="AW155" s="150" t="s">
        <v>258</v>
      </c>
      <c r="AX155" s="151"/>
      <c r="AY155" s="239"/>
      <c r="AZ155" s="78"/>
      <c r="BA155" s="78"/>
      <c r="BB155" s="145" t="s">
        <v>331</v>
      </c>
      <c r="BC155" s="146">
        <v>1098526.19</v>
      </c>
      <c r="BD155" s="186"/>
      <c r="BE155" s="146">
        <v>1098526.19</v>
      </c>
      <c r="BF155" s="189">
        <f t="shared" si="21"/>
        <v>0</v>
      </c>
      <c r="BG155" s="218"/>
      <c r="BH155" s="189"/>
      <c r="BI155" s="145" t="s">
        <v>331</v>
      </c>
      <c r="BJ155" s="146">
        <v>1142765.23</v>
      </c>
      <c r="BK155" s="150" t="s">
        <v>331</v>
      </c>
      <c r="BL155" s="151">
        <f>BV155</f>
        <v>0</v>
      </c>
      <c r="BR155" s="145" t="s">
        <v>331</v>
      </c>
      <c r="BS155" s="146">
        <v>1142765.23</v>
      </c>
      <c r="CA155" s="145" t="s">
        <v>331</v>
      </c>
      <c r="CB155" s="146">
        <v>711394.68</v>
      </c>
    </row>
    <row r="156" spans="1:80" ht="22.5">
      <c r="A156" s="7">
        <f t="shared" si="22"/>
        <v>151</v>
      </c>
      <c r="B156" s="12" t="s">
        <v>41</v>
      </c>
      <c r="C156" s="166"/>
      <c r="D156" s="114">
        <v>34000</v>
      </c>
      <c r="E156" s="166"/>
      <c r="F156" s="114">
        <v>33000</v>
      </c>
      <c r="G156" s="114"/>
      <c r="H156" s="114">
        <v>33000</v>
      </c>
      <c r="I156" s="166"/>
      <c r="J156" s="124">
        <f>AK190</f>
        <v>26442</v>
      </c>
      <c r="K156" s="166"/>
      <c r="L156" s="199">
        <v>33000</v>
      </c>
      <c r="M156" s="204"/>
      <c r="N156" s="124">
        <f>AO190</f>
        <v>29086.2</v>
      </c>
      <c r="O156" s="12"/>
      <c r="P156" s="124">
        <f>AS190</f>
        <v>31730.4</v>
      </c>
      <c r="Q156" s="124"/>
      <c r="R156" s="124">
        <v>31730.4</v>
      </c>
      <c r="S156" s="124"/>
      <c r="T156" s="114">
        <v>31730.4</v>
      </c>
      <c r="U156" s="112"/>
      <c r="V156" s="114">
        <v>34374.6</v>
      </c>
      <c r="W156" s="112"/>
      <c r="X156" s="114">
        <v>30754.08</v>
      </c>
      <c r="Y156" s="112"/>
      <c r="AB156" s="7">
        <f t="shared" si="20"/>
        <v>1000</v>
      </c>
      <c r="AG156" s="235"/>
      <c r="AH156" s="236"/>
      <c r="AI156" s="145"/>
      <c r="AJ156" s="145" t="s">
        <v>258</v>
      </c>
      <c r="AK156" s="146"/>
      <c r="AL156" s="189"/>
      <c r="AM156" s="189"/>
      <c r="AN156" s="145" t="s">
        <v>258</v>
      </c>
      <c r="AO156" s="146"/>
      <c r="AP156" s="145"/>
      <c r="AR156" s="150" t="s">
        <v>258</v>
      </c>
      <c r="AS156" s="151"/>
      <c r="AT156" s="222"/>
      <c r="AW156" s="150" t="s">
        <v>328</v>
      </c>
      <c r="AX156" s="151">
        <v>197150.56</v>
      </c>
      <c r="AY156" s="239"/>
      <c r="AZ156" s="78"/>
      <c r="BA156" s="78"/>
      <c r="BB156" s="145" t="s">
        <v>258</v>
      </c>
      <c r="BC156" s="146"/>
      <c r="BD156" s="186"/>
      <c r="BE156" s="146"/>
      <c r="BF156" s="189">
        <f t="shared" si="21"/>
        <v>0</v>
      </c>
      <c r="BG156" s="218"/>
      <c r="BH156" s="189"/>
      <c r="BI156" s="145" t="s">
        <v>258</v>
      </c>
      <c r="BJ156" s="146"/>
      <c r="BK156" s="150" t="s">
        <v>258</v>
      </c>
      <c r="BL156" s="151"/>
      <c r="BR156" s="145" t="s">
        <v>258</v>
      </c>
      <c r="BS156" s="146"/>
      <c r="CA156" s="145" t="s">
        <v>258</v>
      </c>
      <c r="CB156" s="146"/>
    </row>
    <row r="157" spans="1:80" ht="22.5">
      <c r="A157" s="7">
        <f t="shared" si="22"/>
        <v>152</v>
      </c>
      <c r="B157" s="1"/>
      <c r="C157" s="166"/>
      <c r="D157" s="127">
        <f>SUM(D146:D156)</f>
        <v>375095.60120000003</v>
      </c>
      <c r="E157" s="166"/>
      <c r="F157" s="127">
        <f>SUM(F146:F156)</f>
        <v>338683.91860000003</v>
      </c>
      <c r="G157" s="276"/>
      <c r="H157" s="127">
        <f>SUM(H146:H156)</f>
        <v>338700</v>
      </c>
      <c r="I157" s="179"/>
      <c r="J157" s="128">
        <f>SUM(J146:J156)</f>
        <v>44401.07</v>
      </c>
      <c r="K157" s="179"/>
      <c r="L157" s="226">
        <f>SUM(L146:L156)</f>
        <v>237200</v>
      </c>
      <c r="M157" s="220"/>
      <c r="N157" s="128">
        <f>SUM(N146:N156)</f>
        <v>362615.3900000001</v>
      </c>
      <c r="O157" s="1"/>
      <c r="P157" s="128">
        <f>SUM(P146:P156)</f>
        <v>323776.09</v>
      </c>
      <c r="Q157" s="144"/>
      <c r="R157" s="128">
        <f>SUM(R146:R156)</f>
        <v>215878.48</v>
      </c>
      <c r="S157" s="144"/>
      <c r="T157" s="127">
        <f>SUM(T146:T156)</f>
        <v>221004.88</v>
      </c>
      <c r="U157" s="112"/>
      <c r="V157" s="127">
        <f>SUM(V146:V156)</f>
        <v>244311.7</v>
      </c>
      <c r="W157" s="112"/>
      <c r="X157" s="127">
        <f>SUM(X146:X156)</f>
        <v>207636.43</v>
      </c>
      <c r="Y157" s="112"/>
      <c r="AB157" s="7">
        <f t="shared" si="20"/>
        <v>36411.6826</v>
      </c>
      <c r="AG157" s="235"/>
      <c r="AH157" s="236"/>
      <c r="AI157" s="145"/>
      <c r="AJ157" s="145" t="s">
        <v>259</v>
      </c>
      <c r="AK157" s="146">
        <v>535490.36</v>
      </c>
      <c r="AL157" s="189"/>
      <c r="AM157" s="189"/>
      <c r="AN157" s="145" t="s">
        <v>259</v>
      </c>
      <c r="AO157" s="146">
        <v>598271.25</v>
      </c>
      <c r="AP157" s="145"/>
      <c r="AR157" s="150" t="s">
        <v>259</v>
      </c>
      <c r="AS157" s="151">
        <f>BC157</f>
        <v>622005.92</v>
      </c>
      <c r="AT157" s="222"/>
      <c r="AW157" s="150" t="s">
        <v>329</v>
      </c>
      <c r="AX157" s="151">
        <v>-96299.57</v>
      </c>
      <c r="AY157" s="239"/>
      <c r="AZ157" s="78"/>
      <c r="BA157" s="78"/>
      <c r="BB157" s="145" t="s">
        <v>259</v>
      </c>
      <c r="BC157" s="146">
        <v>622005.92</v>
      </c>
      <c r="BD157" s="186"/>
      <c r="BE157" s="146">
        <v>622005.92</v>
      </c>
      <c r="BF157" s="189">
        <f t="shared" si="21"/>
        <v>0</v>
      </c>
      <c r="BG157" s="218"/>
      <c r="BH157" s="189"/>
      <c r="BI157" s="145" t="s">
        <v>259</v>
      </c>
      <c r="BJ157" s="146">
        <v>598271.25</v>
      </c>
      <c r="BK157" s="150" t="s">
        <v>259</v>
      </c>
      <c r="BL157" s="151">
        <f>BV157</f>
        <v>0</v>
      </c>
      <c r="BR157" s="145" t="s">
        <v>259</v>
      </c>
      <c r="BS157" s="146">
        <v>598271.25</v>
      </c>
      <c r="CA157" s="145" t="s">
        <v>259</v>
      </c>
      <c r="CB157" s="146">
        <v>535490.36</v>
      </c>
    </row>
    <row r="158" spans="1:80" ht="22.5">
      <c r="A158" s="7">
        <f t="shared" si="22"/>
        <v>153</v>
      </c>
      <c r="B158" s="14" t="s">
        <v>99</v>
      </c>
      <c r="C158" s="166"/>
      <c r="D158" s="114"/>
      <c r="E158" s="166"/>
      <c r="F158" s="114"/>
      <c r="G158" s="114"/>
      <c r="H158" s="114"/>
      <c r="I158" s="176"/>
      <c r="J158" s="116"/>
      <c r="K158" s="176"/>
      <c r="L158" s="199"/>
      <c r="M158" s="204"/>
      <c r="N158" s="116"/>
      <c r="O158" s="14"/>
      <c r="P158" s="116"/>
      <c r="Q158" s="116"/>
      <c r="R158" s="116"/>
      <c r="S158" s="116"/>
      <c r="T158" s="114"/>
      <c r="U158" s="112"/>
      <c r="V158" s="114"/>
      <c r="W158" s="112"/>
      <c r="X158" s="114"/>
      <c r="Y158" s="112"/>
      <c r="AB158" s="7">
        <f t="shared" si="20"/>
        <v>0</v>
      </c>
      <c r="AG158" s="235"/>
      <c r="AH158" s="236"/>
      <c r="AI158" s="145"/>
      <c r="AJ158" s="145" t="s">
        <v>332</v>
      </c>
      <c r="AK158" s="146">
        <v>2895.6</v>
      </c>
      <c r="AL158" s="189"/>
      <c r="AM158" s="189"/>
      <c r="AN158" s="145" t="s">
        <v>332</v>
      </c>
      <c r="AO158" s="146">
        <v>-12.07</v>
      </c>
      <c r="AP158" s="145"/>
      <c r="AR158" s="150" t="s">
        <v>332</v>
      </c>
      <c r="AS158" s="151">
        <f>BC158</f>
        <v>0</v>
      </c>
      <c r="AT158" s="185"/>
      <c r="AW158" s="150" t="s">
        <v>216</v>
      </c>
      <c r="AX158" s="153"/>
      <c r="AY158" s="239"/>
      <c r="AZ158" s="78"/>
      <c r="BA158" s="78"/>
      <c r="BB158" s="145" t="s">
        <v>332</v>
      </c>
      <c r="BC158" s="146">
        <v>0</v>
      </c>
      <c r="BD158" s="186"/>
      <c r="BE158" s="146">
        <v>0</v>
      </c>
      <c r="BF158" s="189">
        <f t="shared" si="21"/>
        <v>0</v>
      </c>
      <c r="BG158" s="218"/>
      <c r="BH158" s="189"/>
      <c r="BI158" s="145" t="s">
        <v>332</v>
      </c>
      <c r="BJ158" s="146">
        <v>-12.07</v>
      </c>
      <c r="BK158" s="150" t="s">
        <v>332</v>
      </c>
      <c r="BL158" s="151">
        <f>BV158</f>
        <v>0</v>
      </c>
      <c r="BR158" s="145" t="s">
        <v>332</v>
      </c>
      <c r="BS158" s="146">
        <v>-12.07</v>
      </c>
      <c r="CA158" s="145" t="s">
        <v>332</v>
      </c>
      <c r="CB158" s="146">
        <v>2895.6</v>
      </c>
    </row>
    <row r="159" spans="1:80" ht="22.5">
      <c r="A159" s="7">
        <f t="shared" si="22"/>
        <v>154</v>
      </c>
      <c r="B159" s="3" t="s">
        <v>31</v>
      </c>
      <c r="C159" s="179"/>
      <c r="D159" s="114">
        <v>2000</v>
      </c>
      <c r="E159" s="179"/>
      <c r="F159" s="114">
        <v>1900</v>
      </c>
      <c r="G159" s="114"/>
      <c r="H159" s="114">
        <v>1900</v>
      </c>
      <c r="I159" s="166"/>
      <c r="J159" s="116">
        <f>AK215</f>
        <v>0</v>
      </c>
      <c r="K159" s="166"/>
      <c r="L159" s="199">
        <v>1900</v>
      </c>
      <c r="M159" s="204"/>
      <c r="N159" s="116">
        <f>AO215</f>
        <v>1846.42</v>
      </c>
      <c r="O159" s="3"/>
      <c r="P159" s="116">
        <f>AS215</f>
        <v>1894.38</v>
      </c>
      <c r="Q159" s="116"/>
      <c r="R159" s="116">
        <v>1854.7</v>
      </c>
      <c r="S159" s="116"/>
      <c r="T159" s="114">
        <f>1777.42</f>
        <v>1777.42</v>
      </c>
      <c r="U159" s="112"/>
      <c r="V159" s="114">
        <v>1795.7</v>
      </c>
      <c r="W159" s="112"/>
      <c r="X159" s="114">
        <v>1746.94</v>
      </c>
      <c r="Y159" s="112"/>
      <c r="AB159" s="7">
        <f t="shared" si="20"/>
        <v>100</v>
      </c>
      <c r="AG159" s="235"/>
      <c r="AH159" s="236"/>
      <c r="AI159" s="145"/>
      <c r="AJ159" s="145" t="s">
        <v>333</v>
      </c>
      <c r="AK159" s="157">
        <v>262024.22</v>
      </c>
      <c r="AL159" s="189"/>
      <c r="AM159" s="189"/>
      <c r="AN159" s="145" t="s">
        <v>333</v>
      </c>
      <c r="AO159" s="157">
        <v>331444.18</v>
      </c>
      <c r="AP159" s="145"/>
      <c r="AR159" s="150" t="s">
        <v>333</v>
      </c>
      <c r="AS159" s="151">
        <f>BC159</f>
        <v>336328.94</v>
      </c>
      <c r="AT159" s="222"/>
      <c r="AY159" s="239"/>
      <c r="AZ159" s="78"/>
      <c r="BA159" s="78"/>
      <c r="BB159" s="145" t="s">
        <v>333</v>
      </c>
      <c r="BC159" s="157">
        <v>336328.94</v>
      </c>
      <c r="BD159" s="186"/>
      <c r="BE159" s="157">
        <v>336328.94</v>
      </c>
      <c r="BF159" s="189">
        <f t="shared" si="21"/>
        <v>0</v>
      </c>
      <c r="BG159" s="218"/>
      <c r="BH159" s="189"/>
      <c r="BI159" s="145" t="s">
        <v>333</v>
      </c>
      <c r="BJ159" s="157">
        <v>331444.18</v>
      </c>
      <c r="BK159" s="150" t="s">
        <v>333</v>
      </c>
      <c r="BL159" s="151">
        <f>BV159</f>
        <v>0</v>
      </c>
      <c r="BR159" s="145" t="s">
        <v>333</v>
      </c>
      <c r="BS159" s="157">
        <v>331444.18</v>
      </c>
      <c r="CA159" s="145" t="s">
        <v>333</v>
      </c>
      <c r="CB159" s="157">
        <v>262024.22</v>
      </c>
    </row>
    <row r="160" spans="1:80" ht="22.5">
      <c r="A160" s="7">
        <f t="shared" si="22"/>
        <v>155</v>
      </c>
      <c r="B160" s="3" t="s">
        <v>32</v>
      </c>
      <c r="C160" s="176"/>
      <c r="D160" s="114">
        <v>15250</v>
      </c>
      <c r="E160" s="176"/>
      <c r="F160" s="114">
        <v>15000</v>
      </c>
      <c r="G160" s="114"/>
      <c r="H160" s="114">
        <v>15000</v>
      </c>
      <c r="I160" s="166"/>
      <c r="J160" s="116">
        <f>AK203</f>
        <v>0</v>
      </c>
      <c r="K160" s="166"/>
      <c r="L160" s="199">
        <v>15000</v>
      </c>
      <c r="M160" s="204"/>
      <c r="N160" s="116">
        <f>AO203</f>
        <v>14641.8</v>
      </c>
      <c r="O160" s="3"/>
      <c r="P160" s="116">
        <f>AS203</f>
        <v>15022.16</v>
      </c>
      <c r="Q160" s="116"/>
      <c r="R160" s="116">
        <v>14707.51</v>
      </c>
      <c r="S160" s="116"/>
      <c r="T160" s="114">
        <v>13418.29</v>
      </c>
      <c r="U160" s="112"/>
      <c r="V160" s="114">
        <v>13454.09</v>
      </c>
      <c r="W160" s="112"/>
      <c r="X160" s="114">
        <v>13088.71</v>
      </c>
      <c r="Y160" s="112"/>
      <c r="AB160" s="7">
        <f t="shared" si="20"/>
        <v>250</v>
      </c>
      <c r="AG160" s="235"/>
      <c r="AH160" s="236"/>
      <c r="AI160" s="145"/>
      <c r="AJ160" s="145" t="s">
        <v>334</v>
      </c>
      <c r="AK160" s="146">
        <v>-89015.5</v>
      </c>
      <c r="AL160" s="189">
        <f>AK155-AK157-AK158-AK159</f>
        <v>-89015.49999999994</v>
      </c>
      <c r="AM160" s="189"/>
      <c r="AN160" s="145" t="s">
        <v>334</v>
      </c>
      <c r="AO160" s="146">
        <v>153576.83</v>
      </c>
      <c r="AP160" s="145"/>
      <c r="AR160" s="150" t="s">
        <v>334</v>
      </c>
      <c r="AS160" s="151">
        <f>BC160</f>
        <v>140191.33</v>
      </c>
      <c r="AT160" s="185">
        <f>AS155-AS157-AS159</f>
        <v>140191.3299999999</v>
      </c>
      <c r="AW160" s="150" t="s">
        <v>330</v>
      </c>
      <c r="AX160" s="151">
        <v>523748.95</v>
      </c>
      <c r="AY160" s="239"/>
      <c r="AZ160" s="78"/>
      <c r="BA160" s="78"/>
      <c r="BB160" s="145" t="s">
        <v>334</v>
      </c>
      <c r="BC160" s="146">
        <v>140191.33</v>
      </c>
      <c r="BD160" s="186"/>
      <c r="BE160" s="146">
        <v>140191.33</v>
      </c>
      <c r="BF160" s="189">
        <f t="shared" si="21"/>
        <v>0</v>
      </c>
      <c r="BG160" s="218"/>
      <c r="BH160" s="189"/>
      <c r="BI160" s="145" t="s">
        <v>334</v>
      </c>
      <c r="BJ160" s="146">
        <v>213061.87</v>
      </c>
      <c r="BK160" s="150" t="s">
        <v>334</v>
      </c>
      <c r="BL160" s="151">
        <f>BV160</f>
        <v>0</v>
      </c>
      <c r="BR160" s="145" t="s">
        <v>334</v>
      </c>
      <c r="BS160" s="146">
        <v>213061.87</v>
      </c>
      <c r="CA160" s="145" t="s">
        <v>334</v>
      </c>
      <c r="CB160" s="146">
        <v>-89015.5</v>
      </c>
    </row>
    <row r="161" spans="1:80" ht="22.5">
      <c r="A161" s="7">
        <f t="shared" si="22"/>
        <v>156</v>
      </c>
      <c r="B161" s="3" t="s">
        <v>33</v>
      </c>
      <c r="C161" s="166"/>
      <c r="D161" s="114">
        <f>283846*1.97*0.04</f>
        <v>22367.0648</v>
      </c>
      <c r="E161" s="166"/>
      <c r="F161" s="114">
        <v>22100</v>
      </c>
      <c r="G161" s="114"/>
      <c r="H161" s="114">
        <v>22100</v>
      </c>
      <c r="I161" s="166"/>
      <c r="J161" s="116">
        <f>AK197</f>
        <v>0</v>
      </c>
      <c r="K161" s="166"/>
      <c r="L161" s="199">
        <v>22000</v>
      </c>
      <c r="M161" s="204"/>
      <c r="N161" s="116">
        <f>AO197</f>
        <v>21503.04</v>
      </c>
      <c r="O161" s="3"/>
      <c r="P161" s="116">
        <f>AS197</f>
        <v>22061.65</v>
      </c>
      <c r="Q161" s="116"/>
      <c r="R161" s="116">
        <v>21387.01</v>
      </c>
      <c r="S161" s="116"/>
      <c r="T161" s="114">
        <v>17729.36</v>
      </c>
      <c r="U161" s="112"/>
      <c r="V161" s="114">
        <v>13848.22</v>
      </c>
      <c r="W161" s="112"/>
      <c r="X161" s="114">
        <v>3997.14</v>
      </c>
      <c r="Y161" s="112"/>
      <c r="AB161" s="7">
        <f t="shared" si="20"/>
        <v>267.0648000000001</v>
      </c>
      <c r="AG161" s="235"/>
      <c r="AH161" s="236"/>
      <c r="AI161" s="145"/>
      <c r="AJ161" s="7"/>
      <c r="AK161" s="146"/>
      <c r="AL161" s="189"/>
      <c r="AM161" s="189"/>
      <c r="AO161" s="146"/>
      <c r="AP161" s="145"/>
      <c r="AT161" s="222"/>
      <c r="AW161" s="150" t="s">
        <v>216</v>
      </c>
      <c r="AX161" s="151"/>
      <c r="AY161" s="239"/>
      <c r="AZ161" s="78"/>
      <c r="BA161" s="78"/>
      <c r="BB161" s="145" t="s">
        <v>216</v>
      </c>
      <c r="BC161" s="146"/>
      <c r="BD161" s="186"/>
      <c r="BE161" s="146"/>
      <c r="BF161" s="189">
        <f t="shared" si="21"/>
        <v>0</v>
      </c>
      <c r="BG161" s="218"/>
      <c r="BH161" s="189"/>
      <c r="BI161" s="145" t="s">
        <v>216</v>
      </c>
      <c r="BJ161" s="146"/>
      <c r="BK161" s="114"/>
      <c r="BL161" s="114"/>
      <c r="BR161" s="145" t="s">
        <v>216</v>
      </c>
      <c r="BS161" s="146"/>
      <c r="CA161" s="145" t="s">
        <v>216</v>
      </c>
      <c r="CB161" s="146"/>
    </row>
    <row r="162" spans="1:80" ht="22.5">
      <c r="A162" s="7">
        <f t="shared" si="22"/>
        <v>157</v>
      </c>
      <c r="B162" s="3" t="s">
        <v>34</v>
      </c>
      <c r="C162" s="166"/>
      <c r="D162" s="114">
        <v>38750</v>
      </c>
      <c r="E162" s="166"/>
      <c r="F162" s="114">
        <v>38500</v>
      </c>
      <c r="G162" s="114"/>
      <c r="H162" s="114">
        <v>38500</v>
      </c>
      <c r="I162" s="166"/>
      <c r="J162" s="116">
        <f>AK216</f>
        <v>0</v>
      </c>
      <c r="K162" s="166"/>
      <c r="L162" s="199">
        <v>38000</v>
      </c>
      <c r="M162" s="204"/>
      <c r="N162" s="116">
        <f>AO216</f>
        <v>37527.4</v>
      </c>
      <c r="O162" s="3"/>
      <c r="P162" s="116">
        <f>AS216</f>
        <v>38498.85</v>
      </c>
      <c r="Q162" s="116"/>
      <c r="R162" s="116">
        <v>37689.09</v>
      </c>
      <c r="S162" s="116"/>
      <c r="T162" s="114">
        <v>36048.41</v>
      </c>
      <c r="U162" s="112"/>
      <c r="V162" s="114">
        <v>36331.3</v>
      </c>
      <c r="W162" s="112"/>
      <c r="X162" s="114">
        <v>33884.58</v>
      </c>
      <c r="Y162" s="112"/>
      <c r="AB162" s="7">
        <f t="shared" si="20"/>
        <v>250</v>
      </c>
      <c r="AG162" s="235"/>
      <c r="AH162" s="236"/>
      <c r="AI162" s="145"/>
      <c r="AJ162" s="145" t="s">
        <v>335</v>
      </c>
      <c r="AK162" s="146">
        <v>0</v>
      </c>
      <c r="AL162" s="189">
        <f>AK162</f>
        <v>0</v>
      </c>
      <c r="AM162" s="189"/>
      <c r="AN162" s="145" t="s">
        <v>335</v>
      </c>
      <c r="AO162" s="146">
        <v>0</v>
      </c>
      <c r="AR162" s="150" t="s">
        <v>335</v>
      </c>
      <c r="AS162" s="151">
        <f>BC162</f>
        <v>10.51</v>
      </c>
      <c r="AT162" s="222"/>
      <c r="AY162" s="239"/>
      <c r="AZ162" s="78"/>
      <c r="BA162" s="78"/>
      <c r="BB162" s="145" t="s">
        <v>335</v>
      </c>
      <c r="BC162" s="146">
        <v>10.51</v>
      </c>
      <c r="BD162" s="186"/>
      <c r="BE162" s="146">
        <v>10.51</v>
      </c>
      <c r="BF162" s="189">
        <f t="shared" si="21"/>
        <v>0</v>
      </c>
      <c r="BG162" s="218"/>
      <c r="BH162" s="189"/>
      <c r="BI162" s="145" t="s">
        <v>335</v>
      </c>
      <c r="BJ162" s="146">
        <v>0</v>
      </c>
      <c r="BK162" s="150" t="s">
        <v>335</v>
      </c>
      <c r="BL162" s="151">
        <f>BV162</f>
        <v>0</v>
      </c>
      <c r="BR162" s="145" t="s">
        <v>335</v>
      </c>
      <c r="BS162" s="146">
        <v>0</v>
      </c>
      <c r="CA162" s="145" t="s">
        <v>335</v>
      </c>
      <c r="CB162" s="146">
        <v>0</v>
      </c>
    </row>
    <row r="163" spans="1:80" ht="22.5">
      <c r="A163" s="7">
        <f t="shared" si="22"/>
        <v>158</v>
      </c>
      <c r="B163" s="3" t="s">
        <v>35</v>
      </c>
      <c r="C163" s="166"/>
      <c r="D163" s="114">
        <v>7000</v>
      </c>
      <c r="E163" s="166"/>
      <c r="F163" s="114">
        <v>6750</v>
      </c>
      <c r="G163" s="114"/>
      <c r="H163" s="114">
        <v>6750</v>
      </c>
      <c r="I163" s="166"/>
      <c r="J163" s="116">
        <f>AK189</f>
        <v>0</v>
      </c>
      <c r="K163" s="166"/>
      <c r="L163" s="199">
        <v>6700</v>
      </c>
      <c r="M163" s="204"/>
      <c r="N163" s="116">
        <f>AO189</f>
        <v>6562.6</v>
      </c>
      <c r="O163" s="3"/>
      <c r="P163" s="116">
        <f>AS189</f>
        <v>6738.27</v>
      </c>
      <c r="Q163" s="116"/>
      <c r="R163" s="116">
        <v>6592.95</v>
      </c>
      <c r="S163" s="116"/>
      <c r="T163" s="114">
        <v>6102.54</v>
      </c>
      <c r="U163" s="112"/>
      <c r="V163" s="114">
        <v>6232.94</v>
      </c>
      <c r="W163" s="112"/>
      <c r="X163" s="114">
        <v>6542.67</v>
      </c>
      <c r="Y163" s="112"/>
      <c r="AB163" s="7">
        <f t="shared" si="20"/>
        <v>250</v>
      </c>
      <c r="AG163" s="235"/>
      <c r="AH163" s="236"/>
      <c r="AI163" s="145"/>
      <c r="AJ163" s="145" t="s">
        <v>336</v>
      </c>
      <c r="AK163" s="146">
        <v>3635.71</v>
      </c>
      <c r="AL163" s="189">
        <f aca="true" t="shared" si="23" ref="AL163:AL173">AK163</f>
        <v>3635.71</v>
      </c>
      <c r="AM163" s="189"/>
      <c r="AN163" s="145" t="s">
        <v>336</v>
      </c>
      <c r="AO163" s="146">
        <v>11683.13</v>
      </c>
      <c r="AP163" s="145"/>
      <c r="AR163" s="150" t="s">
        <v>336</v>
      </c>
      <c r="AS163" s="151">
        <f>BC163</f>
        <v>25341.76</v>
      </c>
      <c r="AT163" s="222"/>
      <c r="AW163" s="150" t="s">
        <v>331</v>
      </c>
      <c r="AX163" s="151">
        <v>1098526.19</v>
      </c>
      <c r="AY163" s="239"/>
      <c r="AZ163" s="78"/>
      <c r="BA163" s="78"/>
      <c r="BB163" s="145" t="s">
        <v>336</v>
      </c>
      <c r="BC163" s="146">
        <v>25341.76</v>
      </c>
      <c r="BD163" s="186"/>
      <c r="BE163" s="146">
        <v>25341.76</v>
      </c>
      <c r="BF163" s="189">
        <f t="shared" si="21"/>
        <v>0</v>
      </c>
      <c r="BG163" s="218"/>
      <c r="BH163" s="189"/>
      <c r="BI163" s="145" t="s">
        <v>336</v>
      </c>
      <c r="BJ163" s="146">
        <v>11683.13</v>
      </c>
      <c r="BK163" s="150" t="s">
        <v>336</v>
      </c>
      <c r="BL163" s="151">
        <f>BV163</f>
        <v>0</v>
      </c>
      <c r="BR163" s="145" t="s">
        <v>336</v>
      </c>
      <c r="BS163" s="146">
        <v>11683.13</v>
      </c>
      <c r="CA163" s="145" t="s">
        <v>336</v>
      </c>
      <c r="CB163" s="146">
        <v>3635.71</v>
      </c>
    </row>
    <row r="164" spans="1:80" ht="22.5">
      <c r="A164" s="7">
        <f t="shared" si="22"/>
        <v>159</v>
      </c>
      <c r="B164" s="3" t="s">
        <v>36</v>
      </c>
      <c r="C164" s="166"/>
      <c r="D164" s="114">
        <f>131999*1.97*0.04</f>
        <v>10401.521200000001</v>
      </c>
      <c r="E164" s="166"/>
      <c r="F164" s="114">
        <v>10350</v>
      </c>
      <c r="G164" s="114"/>
      <c r="H164" s="114">
        <v>10350</v>
      </c>
      <c r="I164" s="166"/>
      <c r="J164" s="116">
        <f>AK192</f>
        <v>0</v>
      </c>
      <c r="K164" s="166"/>
      <c r="L164" s="199">
        <v>10300</v>
      </c>
      <c r="M164" s="204"/>
      <c r="N164" s="116">
        <f>AO192</f>
        <v>10041.1</v>
      </c>
      <c r="O164" s="3"/>
      <c r="P164" s="116">
        <f>AS192</f>
        <v>10346.66</v>
      </c>
      <c r="Q164" s="116"/>
      <c r="R164" s="116">
        <v>10266.15</v>
      </c>
      <c r="S164" s="116"/>
      <c r="T164" s="114">
        <v>9918.62</v>
      </c>
      <c r="U164" s="112"/>
      <c r="V164" s="114">
        <v>773.35</v>
      </c>
      <c r="W164" s="112"/>
      <c r="X164" s="114">
        <v>752.35</v>
      </c>
      <c r="Y164" s="112"/>
      <c r="AB164" s="7">
        <f t="shared" si="20"/>
        <v>51.521200000001045</v>
      </c>
      <c r="AG164" s="235"/>
      <c r="AH164" s="236"/>
      <c r="AI164" s="145"/>
      <c r="AJ164" s="145" t="s">
        <v>337</v>
      </c>
      <c r="AK164" s="146">
        <v>0</v>
      </c>
      <c r="AL164" s="189">
        <f t="shared" si="23"/>
        <v>0</v>
      </c>
      <c r="AM164" s="189"/>
      <c r="AN164" s="145" t="s">
        <v>337</v>
      </c>
      <c r="AO164" s="146">
        <v>1304.75</v>
      </c>
      <c r="AP164" s="145"/>
      <c r="AR164" s="150" t="s">
        <v>337</v>
      </c>
      <c r="AS164" s="151">
        <f>BC164</f>
        <v>1311.11</v>
      </c>
      <c r="AT164" s="222"/>
      <c r="AW164" s="150" t="s">
        <v>258</v>
      </c>
      <c r="AX164" s="151"/>
      <c r="AY164" s="239"/>
      <c r="AZ164" s="78"/>
      <c r="BA164" s="78"/>
      <c r="BB164" s="145" t="s">
        <v>337</v>
      </c>
      <c r="BC164" s="146">
        <v>1311.11</v>
      </c>
      <c r="BD164" s="186"/>
      <c r="BE164" s="146">
        <v>1311.11</v>
      </c>
      <c r="BF164" s="189">
        <f t="shared" si="21"/>
        <v>0</v>
      </c>
      <c r="BG164" s="218"/>
      <c r="BH164" s="189"/>
      <c r="BI164" s="145" t="s">
        <v>337</v>
      </c>
      <c r="BJ164" s="146">
        <v>1304.75</v>
      </c>
      <c r="BK164" s="150" t="s">
        <v>337</v>
      </c>
      <c r="BL164" s="151">
        <f>BV164</f>
        <v>0</v>
      </c>
      <c r="BR164" s="145" t="s">
        <v>337</v>
      </c>
      <c r="BS164" s="146">
        <v>1304.75</v>
      </c>
      <c r="CA164" s="145" t="s">
        <v>337</v>
      </c>
      <c r="CB164" s="146">
        <v>0</v>
      </c>
    </row>
    <row r="165" spans="1:80" ht="22.5">
      <c r="A165" s="7">
        <f t="shared" si="22"/>
        <v>160</v>
      </c>
      <c r="B165" s="3" t="s">
        <v>190</v>
      </c>
      <c r="C165" s="166"/>
      <c r="D165" s="114">
        <v>15000</v>
      </c>
      <c r="E165" s="166"/>
      <c r="F165" s="114">
        <v>14600</v>
      </c>
      <c r="G165" s="114"/>
      <c r="H165" s="114">
        <v>14600</v>
      </c>
      <c r="I165" s="166"/>
      <c r="J165" s="116">
        <f>AK188+AK193+AK194</f>
        <v>0</v>
      </c>
      <c r="K165" s="166"/>
      <c r="L165" s="199">
        <v>14300</v>
      </c>
      <c r="M165" s="204"/>
      <c r="N165" s="116">
        <f>AO188+AO193+AO194</f>
        <v>14228.83</v>
      </c>
      <c r="O165" s="3"/>
      <c r="P165" s="116">
        <f>AS188+AS193+AS194</f>
        <v>14597.32</v>
      </c>
      <c r="Q165" s="116"/>
      <c r="R165" s="116">
        <v>14254.67</v>
      </c>
      <c r="S165" s="116"/>
      <c r="T165" s="114">
        <f>383.2+6524.65+6787.51</f>
        <v>13695.36</v>
      </c>
      <c r="U165" s="112"/>
      <c r="V165" s="114">
        <f>387.15+6857.32+6591.75</f>
        <v>13836.22</v>
      </c>
      <c r="W165" s="112"/>
      <c r="X165" s="114">
        <f>263.74+6671.09+552.31</f>
        <v>7487.139999999999</v>
      </c>
      <c r="Y165" s="112"/>
      <c r="AB165" s="7">
        <f t="shared" si="20"/>
        <v>400</v>
      </c>
      <c r="AG165" s="235"/>
      <c r="AH165" s="236"/>
      <c r="AI165" s="145"/>
      <c r="AJ165" s="145" t="s">
        <v>338</v>
      </c>
      <c r="AK165" s="146">
        <v>0</v>
      </c>
      <c r="AL165" s="189">
        <f t="shared" si="23"/>
        <v>0</v>
      </c>
      <c r="AM165" s="189"/>
      <c r="AN165" s="145" t="s">
        <v>338</v>
      </c>
      <c r="AO165" s="146">
        <v>0</v>
      </c>
      <c r="AP165" s="145"/>
      <c r="AR165" s="150" t="s">
        <v>338</v>
      </c>
      <c r="AS165" s="151">
        <f>BC165</f>
        <v>0</v>
      </c>
      <c r="AT165" s="222"/>
      <c r="AW165" s="150" t="s">
        <v>259</v>
      </c>
      <c r="AX165" s="151">
        <v>622005.92</v>
      </c>
      <c r="AY165" s="239"/>
      <c r="AZ165" s="78"/>
      <c r="BA165" s="78"/>
      <c r="BB165" s="145" t="s">
        <v>338</v>
      </c>
      <c r="BC165" s="146">
        <v>0</v>
      </c>
      <c r="BD165" s="186"/>
      <c r="BE165" s="146">
        <v>0</v>
      </c>
      <c r="BF165" s="189">
        <f t="shared" si="21"/>
        <v>0</v>
      </c>
      <c r="BG165" s="218"/>
      <c r="BH165" s="189"/>
      <c r="BI165" s="145" t="s">
        <v>338</v>
      </c>
      <c r="BJ165" s="146">
        <v>0</v>
      </c>
      <c r="BK165" s="150" t="s">
        <v>338</v>
      </c>
      <c r="BL165" s="151">
        <f>BV165</f>
        <v>0</v>
      </c>
      <c r="BR165" s="145" t="s">
        <v>338</v>
      </c>
      <c r="BS165" s="146">
        <v>0</v>
      </c>
      <c r="CA165" s="145" t="s">
        <v>338</v>
      </c>
      <c r="CB165" s="146">
        <v>0</v>
      </c>
    </row>
    <row r="166" spans="1:80" ht="22.5">
      <c r="A166" s="7">
        <f>A165+1</f>
        <v>161</v>
      </c>
      <c r="B166" s="3" t="s">
        <v>187</v>
      </c>
      <c r="C166" s="166"/>
      <c r="D166" s="114">
        <v>7000</v>
      </c>
      <c r="E166" s="166"/>
      <c r="F166" s="114">
        <v>7000</v>
      </c>
      <c r="G166" s="114"/>
      <c r="H166" s="114">
        <v>7000</v>
      </c>
      <c r="I166" s="166"/>
      <c r="J166" s="116"/>
      <c r="K166" s="166"/>
      <c r="L166" s="199">
        <v>7000</v>
      </c>
      <c r="M166" s="204"/>
      <c r="N166" s="116"/>
      <c r="O166" s="3"/>
      <c r="P166" s="116"/>
      <c r="Q166" s="116"/>
      <c r="R166" s="116"/>
      <c r="S166" s="116"/>
      <c r="T166" s="114">
        <v>13111.54</v>
      </c>
      <c r="U166" s="112"/>
      <c r="V166" s="114"/>
      <c r="W166" s="112"/>
      <c r="X166" s="114"/>
      <c r="Y166" s="112"/>
      <c r="AB166" s="7">
        <f t="shared" si="20"/>
        <v>0</v>
      </c>
      <c r="AG166" s="235"/>
      <c r="AH166" s="236"/>
      <c r="AI166" s="145"/>
      <c r="AJ166" s="145" t="s">
        <v>339</v>
      </c>
      <c r="AK166" s="146">
        <v>0</v>
      </c>
      <c r="AL166" s="189">
        <f t="shared" si="23"/>
        <v>0</v>
      </c>
      <c r="AM166" s="189"/>
      <c r="AN166" s="145" t="s">
        <v>339</v>
      </c>
      <c r="AO166" s="146">
        <v>0.3</v>
      </c>
      <c r="AP166" s="145"/>
      <c r="AR166" s="150" t="s">
        <v>339</v>
      </c>
      <c r="AS166" s="151">
        <f>BC166</f>
        <v>143.6</v>
      </c>
      <c r="AT166" s="222"/>
      <c r="AW166" s="150" t="s">
        <v>332</v>
      </c>
      <c r="AX166" s="151">
        <v>0</v>
      </c>
      <c r="AY166" s="239"/>
      <c r="AZ166" s="78"/>
      <c r="BA166" s="78"/>
      <c r="BB166" s="145" t="s">
        <v>339</v>
      </c>
      <c r="BC166" s="146">
        <v>143.6</v>
      </c>
      <c r="BD166" s="186"/>
      <c r="BE166" s="146">
        <v>143.6</v>
      </c>
      <c r="BF166" s="189">
        <f t="shared" si="21"/>
        <v>0</v>
      </c>
      <c r="BG166" s="218"/>
      <c r="BH166" s="189"/>
      <c r="BI166" s="145" t="s">
        <v>339</v>
      </c>
      <c r="BJ166" s="146">
        <v>0.3</v>
      </c>
      <c r="BK166" s="150" t="s">
        <v>339</v>
      </c>
      <c r="BL166" s="151">
        <f>BV166</f>
        <v>0</v>
      </c>
      <c r="BR166" s="145" t="s">
        <v>339</v>
      </c>
      <c r="BS166" s="146">
        <v>0.3</v>
      </c>
      <c r="CA166" s="145" t="s">
        <v>339</v>
      </c>
      <c r="CB166" s="146">
        <v>0</v>
      </c>
    </row>
    <row r="167" spans="1:80" ht="22.5">
      <c r="A167" s="7">
        <f>A166+1</f>
        <v>162</v>
      </c>
      <c r="B167" s="3" t="s">
        <v>176</v>
      </c>
      <c r="C167" s="166"/>
      <c r="D167" s="114">
        <v>11000</v>
      </c>
      <c r="E167" s="166"/>
      <c r="F167" s="114">
        <v>10800</v>
      </c>
      <c r="G167" s="114"/>
      <c r="H167" s="114">
        <v>10800</v>
      </c>
      <c r="I167" s="166"/>
      <c r="J167" s="116">
        <f>AK195</f>
        <v>0</v>
      </c>
      <c r="K167" s="166"/>
      <c r="L167" s="199">
        <v>10500</v>
      </c>
      <c r="M167" s="204"/>
      <c r="N167" s="116">
        <f>AO195</f>
        <v>10484.12</v>
      </c>
      <c r="O167" s="3"/>
      <c r="P167" s="116">
        <f>AS195</f>
        <v>10756.48</v>
      </c>
      <c r="Q167" s="116"/>
      <c r="R167" s="116">
        <v>10531.17</v>
      </c>
      <c r="S167" s="116"/>
      <c r="T167" s="114">
        <v>10092.36</v>
      </c>
      <c r="U167" s="112"/>
      <c r="V167" s="114">
        <v>10196.15</v>
      </c>
      <c r="W167" s="112"/>
      <c r="X167" s="114">
        <v>9919.25</v>
      </c>
      <c r="Y167" s="112"/>
      <c r="AB167" s="7">
        <f t="shared" si="20"/>
        <v>200</v>
      </c>
      <c r="AG167" s="235"/>
      <c r="AH167" s="236"/>
      <c r="AI167" s="145"/>
      <c r="AJ167" s="145" t="s">
        <v>216</v>
      </c>
      <c r="AK167" s="146"/>
      <c r="AL167" s="189">
        <f t="shared" si="23"/>
        <v>0</v>
      </c>
      <c r="AM167" s="189"/>
      <c r="AN167" s="145" t="s">
        <v>216</v>
      </c>
      <c r="AO167" s="146"/>
      <c r="AP167" s="145"/>
      <c r="AR167" s="150" t="s">
        <v>216</v>
      </c>
      <c r="AS167" s="151"/>
      <c r="AT167" s="185"/>
      <c r="AW167" s="150" t="s">
        <v>333</v>
      </c>
      <c r="AX167" s="153">
        <v>336328.94</v>
      </c>
      <c r="AY167" s="239"/>
      <c r="AZ167" s="78"/>
      <c r="BA167" s="78"/>
      <c r="BB167" s="145" t="s">
        <v>216</v>
      </c>
      <c r="BC167" s="146"/>
      <c r="BD167" s="186"/>
      <c r="BE167" s="146"/>
      <c r="BF167" s="189">
        <f t="shared" si="21"/>
        <v>0</v>
      </c>
      <c r="BG167" s="218"/>
      <c r="BH167" s="189"/>
      <c r="BI167" s="145" t="s">
        <v>216</v>
      </c>
      <c r="BJ167" s="146"/>
      <c r="BK167" s="150" t="s">
        <v>216</v>
      </c>
      <c r="BL167" s="151"/>
      <c r="BR167" s="145" t="s">
        <v>216</v>
      </c>
      <c r="BS167" s="146"/>
      <c r="CA167" s="145" t="s">
        <v>216</v>
      </c>
      <c r="CB167" s="146"/>
    </row>
    <row r="168" spans="1:80" ht="22.5">
      <c r="A168" s="7">
        <f>A167+1</f>
        <v>163</v>
      </c>
      <c r="B168" s="3" t="s">
        <v>37</v>
      </c>
      <c r="C168" s="166"/>
      <c r="D168" s="114">
        <v>28750</v>
      </c>
      <c r="E168" s="166"/>
      <c r="F168" s="114">
        <v>28250</v>
      </c>
      <c r="G168" s="114"/>
      <c r="H168" s="114">
        <v>28250</v>
      </c>
      <c r="I168" s="166"/>
      <c r="J168" s="280">
        <f>AK214</f>
        <v>-100000</v>
      </c>
      <c r="K168" s="166"/>
      <c r="L168" s="199">
        <v>28000</v>
      </c>
      <c r="M168" s="204"/>
      <c r="N168" s="116">
        <f>AO214</f>
        <v>27464.64</v>
      </c>
      <c r="O168" s="3"/>
      <c r="P168" s="116">
        <f>AS214</f>
        <v>28178.12</v>
      </c>
      <c r="Q168" s="116"/>
      <c r="R168" s="116">
        <v>27587.91</v>
      </c>
      <c r="S168" s="116"/>
      <c r="T168" s="114">
        <v>26438.33</v>
      </c>
      <c r="U168" s="112"/>
      <c r="V168" s="114">
        <v>26710.23</v>
      </c>
      <c r="W168" s="112"/>
      <c r="X168" s="114">
        <v>25984.86</v>
      </c>
      <c r="Y168" s="112"/>
      <c r="AB168" s="7">
        <f aca="true" t="shared" si="24" ref="AB168:AB178">D168-F168</f>
        <v>500</v>
      </c>
      <c r="AG168" s="235"/>
      <c r="AH168" s="236"/>
      <c r="AI168" s="145"/>
      <c r="AJ168" s="145" t="s">
        <v>110</v>
      </c>
      <c r="AK168" s="146">
        <v>286.37</v>
      </c>
      <c r="AL168" s="189">
        <f t="shared" si="23"/>
        <v>286.37</v>
      </c>
      <c r="AM168" s="189"/>
      <c r="AN168" s="145" t="s">
        <v>110</v>
      </c>
      <c r="AO168" s="146">
        <v>3633.22</v>
      </c>
      <c r="AP168" s="145"/>
      <c r="AR168" s="150" t="s">
        <v>110</v>
      </c>
      <c r="AS168" s="151">
        <f aca="true" t="shared" si="25" ref="AS168:AS174">BC168</f>
        <v>12728.04</v>
      </c>
      <c r="AT168" s="222"/>
      <c r="AY168" s="239"/>
      <c r="AZ168" s="78"/>
      <c r="BA168" s="78"/>
      <c r="BB168" s="145" t="s">
        <v>110</v>
      </c>
      <c r="BC168" s="146">
        <v>12728.04</v>
      </c>
      <c r="BD168" s="186"/>
      <c r="BE168" s="146">
        <v>12728.04</v>
      </c>
      <c r="BF168" s="189">
        <f t="shared" si="21"/>
        <v>0</v>
      </c>
      <c r="BG168" s="218"/>
      <c r="BH168" s="189"/>
      <c r="BI168" s="145" t="s">
        <v>110</v>
      </c>
      <c r="BJ168" s="146">
        <v>3633.22</v>
      </c>
      <c r="BK168" s="150" t="s">
        <v>110</v>
      </c>
      <c r="BL168" s="151">
        <f aca="true" t="shared" si="26" ref="BL168:BL174">BV168</f>
        <v>0</v>
      </c>
      <c r="BR168" s="145" t="s">
        <v>110</v>
      </c>
      <c r="BS168" s="146">
        <v>3633.22</v>
      </c>
      <c r="CA168" s="145" t="s">
        <v>110</v>
      </c>
      <c r="CB168" s="146">
        <v>286.37</v>
      </c>
    </row>
    <row r="169" spans="1:80" ht="22.5">
      <c r="A169" s="7">
        <f>A168+1</f>
        <v>164</v>
      </c>
      <c r="B169" s="3" t="s">
        <v>38</v>
      </c>
      <c r="C169" s="166"/>
      <c r="D169" s="114">
        <v>1600</v>
      </c>
      <c r="E169" s="166"/>
      <c r="F169" s="114">
        <v>1550</v>
      </c>
      <c r="G169" s="114"/>
      <c r="H169" s="114">
        <v>1550</v>
      </c>
      <c r="I169" s="166"/>
      <c r="J169" s="116">
        <f>AK191</f>
        <v>0</v>
      </c>
      <c r="K169" s="166"/>
      <c r="L169" s="199">
        <v>1500</v>
      </c>
      <c r="M169" s="204"/>
      <c r="N169" s="116">
        <f>AO191</f>
        <v>1503.34</v>
      </c>
      <c r="O169" s="3"/>
      <c r="P169" s="116">
        <f>AS191</f>
        <v>1542.39</v>
      </c>
      <c r="Q169" s="116"/>
      <c r="R169" s="116">
        <v>1510.09</v>
      </c>
      <c r="S169" s="116"/>
      <c r="T169" s="114">
        <v>1447.16</v>
      </c>
      <c r="U169" s="112"/>
      <c r="V169" s="114">
        <v>1462.05</v>
      </c>
      <c r="W169" s="112"/>
      <c r="X169" s="114">
        <v>1422.34</v>
      </c>
      <c r="Y169" s="112"/>
      <c r="AB169" s="7">
        <f t="shared" si="24"/>
        <v>50</v>
      </c>
      <c r="AG169" s="235"/>
      <c r="AH169" s="236"/>
      <c r="AI169" s="145"/>
      <c r="AJ169" s="145" t="s">
        <v>340</v>
      </c>
      <c r="AK169" s="146">
        <v>324984.3</v>
      </c>
      <c r="AL169" s="189">
        <f t="shared" si="23"/>
        <v>324984.3</v>
      </c>
      <c r="AM169" s="189"/>
      <c r="AN169" s="145" t="s">
        <v>340</v>
      </c>
      <c r="AO169" s="146">
        <v>359772.97</v>
      </c>
      <c r="AP169" s="145"/>
      <c r="AR169" s="150" t="s">
        <v>340</v>
      </c>
      <c r="AS169" s="151">
        <f t="shared" si="25"/>
        <v>364722</v>
      </c>
      <c r="AT169" s="222"/>
      <c r="AW169" s="150" t="s">
        <v>334</v>
      </c>
      <c r="AX169" s="151">
        <v>140191.33</v>
      </c>
      <c r="AY169" s="239"/>
      <c r="AZ169" s="78"/>
      <c r="BA169" s="78"/>
      <c r="BB169" s="145" t="s">
        <v>340</v>
      </c>
      <c r="BC169" s="146">
        <v>364722</v>
      </c>
      <c r="BD169" s="186"/>
      <c r="BE169" s="146">
        <v>364722</v>
      </c>
      <c r="BF169" s="189">
        <f t="shared" si="21"/>
        <v>0</v>
      </c>
      <c r="BG169" s="218"/>
      <c r="BH169" s="189"/>
      <c r="BI169" s="145" t="s">
        <v>340</v>
      </c>
      <c r="BJ169" s="146">
        <v>359772.97</v>
      </c>
      <c r="BK169" s="150" t="s">
        <v>340</v>
      </c>
      <c r="BL169" s="151">
        <f t="shared" si="26"/>
        <v>0</v>
      </c>
      <c r="BR169" s="145" t="s">
        <v>340</v>
      </c>
      <c r="BS169" s="146">
        <v>359772.97</v>
      </c>
      <c r="CA169" s="145" t="s">
        <v>340</v>
      </c>
      <c r="CB169" s="146">
        <v>324984.3</v>
      </c>
    </row>
    <row r="170" spans="1:80" ht="22.5">
      <c r="A170" s="7">
        <f t="shared" si="22"/>
        <v>165</v>
      </c>
      <c r="B170" s="3" t="s">
        <v>98</v>
      </c>
      <c r="C170" s="166"/>
      <c r="D170" s="123">
        <v>27000</v>
      </c>
      <c r="E170" s="166"/>
      <c r="F170" s="123">
        <v>14000</v>
      </c>
      <c r="G170" s="123"/>
      <c r="H170" s="123">
        <f>14000+36655.9+30000</f>
        <v>80655.9</v>
      </c>
      <c r="I170" s="166"/>
      <c r="J170" s="116">
        <f>AK207+AK208</f>
        <v>20525.18</v>
      </c>
      <c r="K170" s="166"/>
      <c r="L170" s="199">
        <f>10000+36233</f>
        <v>46233</v>
      </c>
      <c r="M170" s="204"/>
      <c r="N170" s="116">
        <f>AO207+AO208</f>
        <v>33127.74</v>
      </c>
      <c r="O170" s="3"/>
      <c r="P170" s="116">
        <f>AS207+AS208</f>
        <v>92957.73999999999</v>
      </c>
      <c r="Q170" s="116"/>
      <c r="R170" s="116">
        <v>112583.93</v>
      </c>
      <c r="S170" s="116"/>
      <c r="T170" s="114">
        <f>183645.54-13111.54+20797.89</f>
        <v>191331.89</v>
      </c>
      <c r="U170" s="112"/>
      <c r="V170" s="114">
        <f>112285+2398.47</f>
        <v>114683.47</v>
      </c>
      <c r="W170" s="112"/>
      <c r="X170" s="114">
        <f>133962.77+2603.82</f>
        <v>136566.59</v>
      </c>
      <c r="Y170" s="112"/>
      <c r="AB170" s="7">
        <f t="shared" si="24"/>
        <v>13000</v>
      </c>
      <c r="AG170" s="235"/>
      <c r="AH170" s="236"/>
      <c r="AI170" s="145"/>
      <c r="AJ170" s="145" t="s">
        <v>341</v>
      </c>
      <c r="AK170" s="146">
        <v>24797.95</v>
      </c>
      <c r="AL170" s="189">
        <f t="shared" si="23"/>
        <v>24797.95</v>
      </c>
      <c r="AM170" s="189"/>
      <c r="AN170" s="145" t="s">
        <v>341</v>
      </c>
      <c r="AO170" s="146">
        <v>25621.87</v>
      </c>
      <c r="AP170" s="145"/>
      <c r="AR170" s="150" t="s">
        <v>341</v>
      </c>
      <c r="AS170" s="151">
        <f t="shared" si="25"/>
        <v>27122.18</v>
      </c>
      <c r="AT170" s="222"/>
      <c r="AY170" s="239"/>
      <c r="AZ170" s="78"/>
      <c r="BA170" s="78"/>
      <c r="BB170" s="145" t="s">
        <v>341</v>
      </c>
      <c r="BC170" s="146">
        <v>27122.18</v>
      </c>
      <c r="BD170" s="186"/>
      <c r="BE170" s="146">
        <v>27122.18</v>
      </c>
      <c r="BF170" s="189">
        <f t="shared" si="21"/>
        <v>0</v>
      </c>
      <c r="BG170" s="218"/>
      <c r="BH170" s="189"/>
      <c r="BI170" s="145" t="s">
        <v>341</v>
      </c>
      <c r="BJ170" s="146">
        <v>25621.87</v>
      </c>
      <c r="BK170" s="150" t="s">
        <v>341</v>
      </c>
      <c r="BL170" s="151">
        <f t="shared" si="26"/>
        <v>0</v>
      </c>
      <c r="BR170" s="145" t="s">
        <v>341</v>
      </c>
      <c r="BS170" s="146">
        <v>25621.87</v>
      </c>
      <c r="CA170" s="145" t="s">
        <v>341</v>
      </c>
      <c r="CB170" s="146">
        <v>24797.95</v>
      </c>
    </row>
    <row r="171" spans="1:80" ht="22.5">
      <c r="A171" s="7">
        <f>A170+1</f>
        <v>166</v>
      </c>
      <c r="B171" s="3" t="s">
        <v>177</v>
      </c>
      <c r="C171" s="166"/>
      <c r="D171" s="114">
        <v>1500</v>
      </c>
      <c r="E171" s="166"/>
      <c r="F171" s="114">
        <v>2500</v>
      </c>
      <c r="G171" s="114"/>
      <c r="H171" s="114">
        <v>2500</v>
      </c>
      <c r="I171" s="166"/>
      <c r="J171" s="116">
        <f>AK209</f>
        <v>0</v>
      </c>
      <c r="K171" s="166"/>
      <c r="L171" s="199">
        <v>5000</v>
      </c>
      <c r="M171" s="204"/>
      <c r="N171" s="116">
        <f>AO209</f>
        <v>0</v>
      </c>
      <c r="O171" s="3"/>
      <c r="P171" s="116">
        <f>AS209</f>
        <v>0</v>
      </c>
      <c r="Q171" s="116"/>
      <c r="R171" s="116">
        <v>0</v>
      </c>
      <c r="S171" s="116"/>
      <c r="T171" s="114">
        <v>14451.64</v>
      </c>
      <c r="U171" s="112"/>
      <c r="V171" s="114">
        <v>35529.36</v>
      </c>
      <c r="W171" s="112"/>
      <c r="X171" s="114">
        <v>48645.82</v>
      </c>
      <c r="Y171" s="112"/>
      <c r="AB171" s="7">
        <f t="shared" si="24"/>
        <v>-1000</v>
      </c>
      <c r="AG171" s="235"/>
      <c r="AH171" s="236"/>
      <c r="AI171" s="145"/>
      <c r="AJ171" s="145" t="s">
        <v>342</v>
      </c>
      <c r="AK171" s="146">
        <v>0</v>
      </c>
      <c r="AL171" s="189">
        <f t="shared" si="23"/>
        <v>0</v>
      </c>
      <c r="AM171" s="189"/>
      <c r="AN171" s="145" t="s">
        <v>342</v>
      </c>
      <c r="AO171" s="146">
        <v>1352.28</v>
      </c>
      <c r="AP171" s="145"/>
      <c r="AR171" s="150" t="s">
        <v>342</v>
      </c>
      <c r="AS171" s="151">
        <f t="shared" si="25"/>
        <v>6485.18</v>
      </c>
      <c r="AT171" s="222"/>
      <c r="AW171" s="150" t="s">
        <v>335</v>
      </c>
      <c r="AX171" s="151">
        <v>10.51</v>
      </c>
      <c r="AY171" s="239"/>
      <c r="AZ171" s="78"/>
      <c r="BA171" s="78"/>
      <c r="BB171" s="145" t="s">
        <v>342</v>
      </c>
      <c r="BC171" s="146">
        <v>6485.18</v>
      </c>
      <c r="BD171" s="186"/>
      <c r="BE171" s="146">
        <v>6485.18</v>
      </c>
      <c r="BF171" s="189">
        <f t="shared" si="21"/>
        <v>0</v>
      </c>
      <c r="BG171" s="218"/>
      <c r="BH171" s="189"/>
      <c r="BI171" s="145" t="s">
        <v>342</v>
      </c>
      <c r="BJ171" s="146">
        <v>1352.28</v>
      </c>
      <c r="BK171" s="150" t="s">
        <v>342</v>
      </c>
      <c r="BL171" s="151">
        <f t="shared" si="26"/>
        <v>0</v>
      </c>
      <c r="BR171" s="145" t="s">
        <v>342</v>
      </c>
      <c r="BS171" s="146">
        <v>1352.28</v>
      </c>
      <c r="CA171" s="145" t="s">
        <v>342</v>
      </c>
      <c r="CB171" s="146">
        <v>0</v>
      </c>
    </row>
    <row r="172" spans="1:80" ht="22.5">
      <c r="A172" s="7">
        <f>A171+1</f>
        <v>167</v>
      </c>
      <c r="B172" s="3" t="s">
        <v>39</v>
      </c>
      <c r="C172" s="166"/>
      <c r="D172" s="114">
        <v>208000</v>
      </c>
      <c r="E172" s="166"/>
      <c r="F172" s="114">
        <v>196000</v>
      </c>
      <c r="G172" s="114"/>
      <c r="H172" s="114">
        <v>196000</v>
      </c>
      <c r="I172" s="166"/>
      <c r="J172" s="116">
        <f>AK196</f>
        <v>0</v>
      </c>
      <c r="K172" s="166"/>
      <c r="L172" s="199">
        <v>192000</v>
      </c>
      <c r="M172" s="204"/>
      <c r="N172" s="116">
        <f>AO196</f>
        <v>192094.37</v>
      </c>
      <c r="O172" s="3"/>
      <c r="P172" s="116">
        <f>AS196</f>
        <v>186474.76</v>
      </c>
      <c r="Q172" s="116"/>
      <c r="R172" s="116">
        <v>174095.2</v>
      </c>
      <c r="S172" s="116"/>
      <c r="T172" s="114">
        <v>163473.82</v>
      </c>
      <c r="U172" s="112"/>
      <c r="V172" s="114">
        <v>160442.42</v>
      </c>
      <c r="W172" s="112"/>
      <c r="X172" s="114">
        <v>150323.37</v>
      </c>
      <c r="Y172" s="112"/>
      <c r="AB172" s="7">
        <f t="shared" si="24"/>
        <v>12000</v>
      </c>
      <c r="AG172" s="235"/>
      <c r="AH172" s="236"/>
      <c r="AI172" s="145"/>
      <c r="AJ172" s="145" t="s">
        <v>343</v>
      </c>
      <c r="AK172" s="146">
        <v>11064.43</v>
      </c>
      <c r="AL172" s="189">
        <f t="shared" si="23"/>
        <v>11064.43</v>
      </c>
      <c r="AM172" s="189"/>
      <c r="AN172" s="145" t="s">
        <v>343</v>
      </c>
      <c r="AO172" s="146">
        <v>12123</v>
      </c>
      <c r="AP172" s="145"/>
      <c r="AR172" s="150" t="s">
        <v>343</v>
      </c>
      <c r="AS172" s="151">
        <f t="shared" si="25"/>
        <v>13097.08</v>
      </c>
      <c r="AT172" s="222"/>
      <c r="AW172" s="150" t="s">
        <v>336</v>
      </c>
      <c r="AX172" s="151">
        <v>25341.76</v>
      </c>
      <c r="AY172" s="239"/>
      <c r="AZ172" s="78"/>
      <c r="BA172" s="78"/>
      <c r="BB172" s="145" t="s">
        <v>343</v>
      </c>
      <c r="BC172" s="146">
        <v>13097.08</v>
      </c>
      <c r="BD172" s="186"/>
      <c r="BE172" s="146">
        <v>13097.08</v>
      </c>
      <c r="BF172" s="189">
        <f t="shared" si="21"/>
        <v>0</v>
      </c>
      <c r="BG172" s="218"/>
      <c r="BH172" s="189"/>
      <c r="BI172" s="145" t="s">
        <v>343</v>
      </c>
      <c r="BJ172" s="146">
        <v>12123</v>
      </c>
      <c r="BK172" s="150" t="s">
        <v>343</v>
      </c>
      <c r="BL172" s="151">
        <f t="shared" si="26"/>
        <v>0</v>
      </c>
      <c r="BR172" s="145" t="s">
        <v>343</v>
      </c>
      <c r="BS172" s="146">
        <v>12123</v>
      </c>
      <c r="CA172" s="145" t="s">
        <v>343</v>
      </c>
      <c r="CB172" s="146">
        <v>11064.43</v>
      </c>
    </row>
    <row r="173" spans="1:80" ht="23.25" thickBot="1">
      <c r="A173" s="7">
        <f>A172+1</f>
        <v>168</v>
      </c>
      <c r="B173" s="3"/>
      <c r="C173" s="166"/>
      <c r="D173" s="130">
        <f>SUM(D158:D172)</f>
        <v>395618.586</v>
      </c>
      <c r="E173" s="166"/>
      <c r="F173" s="130">
        <f>SUM(F158:F172)</f>
        <v>369300</v>
      </c>
      <c r="G173" s="276"/>
      <c r="H173" s="130">
        <f>SUM(H158:H172)</f>
        <v>435955.9</v>
      </c>
      <c r="I173" s="78"/>
      <c r="J173" s="131">
        <f>SUM(J158:J172)</f>
        <v>-79474.82</v>
      </c>
      <c r="K173" s="78"/>
      <c r="L173" s="211">
        <f>SUM(L158:L172)</f>
        <v>398433</v>
      </c>
      <c r="M173" s="221"/>
      <c r="N173" s="131">
        <f>SUM(N158:N172)</f>
        <v>371025.4</v>
      </c>
      <c r="O173" s="3"/>
      <c r="P173" s="131">
        <f>SUM(P158:P172)</f>
        <v>429068.78</v>
      </c>
      <c r="Q173" s="131"/>
      <c r="R173" s="131">
        <f>SUM(R158:R172)</f>
        <v>433060.38</v>
      </c>
      <c r="S173" s="131"/>
      <c r="T173" s="130">
        <f>SUM(T158:T172)</f>
        <v>519036.74000000005</v>
      </c>
      <c r="U173" s="112"/>
      <c r="V173" s="130">
        <f>SUM(V158:V172)</f>
        <v>435295.5</v>
      </c>
      <c r="W173" s="112"/>
      <c r="X173" s="130">
        <f>SUM(X158:X172)</f>
        <v>440361.76</v>
      </c>
      <c r="Y173" s="112"/>
      <c r="AB173" s="7">
        <f t="shared" si="24"/>
        <v>26318.58600000001</v>
      </c>
      <c r="AG173" s="235"/>
      <c r="AH173" s="236"/>
      <c r="AI173" s="145"/>
      <c r="AJ173" s="145" t="s">
        <v>344</v>
      </c>
      <c r="AK173" s="157">
        <v>335049.61</v>
      </c>
      <c r="AL173" s="189">
        <f t="shared" si="23"/>
        <v>335049.61</v>
      </c>
      <c r="AM173" s="189"/>
      <c r="AN173" s="145" t="s">
        <v>344</v>
      </c>
      <c r="AO173" s="157">
        <v>387578.69</v>
      </c>
      <c r="AP173" s="145"/>
      <c r="AR173" s="150" t="s">
        <v>344</v>
      </c>
      <c r="AS173" s="151">
        <f t="shared" si="25"/>
        <v>435861.27</v>
      </c>
      <c r="AT173" s="222"/>
      <c r="AW173" s="150" t="s">
        <v>337</v>
      </c>
      <c r="AX173" s="151">
        <v>1311.11</v>
      </c>
      <c r="AY173" s="239"/>
      <c r="AZ173" s="78"/>
      <c r="BA173" s="78"/>
      <c r="BB173" s="145" t="s">
        <v>344</v>
      </c>
      <c r="BC173" s="157">
        <v>435861.27</v>
      </c>
      <c r="BD173" s="186"/>
      <c r="BE173" s="157">
        <v>435861.27</v>
      </c>
      <c r="BF173" s="189">
        <f t="shared" si="21"/>
        <v>0</v>
      </c>
      <c r="BG173" s="218"/>
      <c r="BH173" s="189"/>
      <c r="BI173" s="145" t="s">
        <v>344</v>
      </c>
      <c r="BJ173" s="157">
        <v>387578.69</v>
      </c>
      <c r="BK173" s="150" t="s">
        <v>344</v>
      </c>
      <c r="BL173" s="151">
        <f t="shared" si="26"/>
        <v>0</v>
      </c>
      <c r="BR173" s="145" t="s">
        <v>344</v>
      </c>
      <c r="BS173" s="157">
        <v>387578.69</v>
      </c>
      <c r="CA173" s="145" t="s">
        <v>344</v>
      </c>
      <c r="CB173" s="157">
        <v>335049.61</v>
      </c>
    </row>
    <row r="174" spans="1:80" ht="24.75" thickBot="1" thickTop="1">
      <c r="A174" s="7">
        <f t="shared" si="22"/>
        <v>169</v>
      </c>
      <c r="B174" s="19" t="s">
        <v>22</v>
      </c>
      <c r="C174" s="182"/>
      <c r="D174" s="184">
        <f>D173+D157</f>
        <v>770714.1872</v>
      </c>
      <c r="E174" s="182"/>
      <c r="F174" s="184">
        <f>F173+F157</f>
        <v>707983.9186</v>
      </c>
      <c r="G174" s="184"/>
      <c r="H174" s="184">
        <f>H173+H157</f>
        <v>774655.9</v>
      </c>
      <c r="I174" s="167"/>
      <c r="J174" s="119">
        <f>J173+J157</f>
        <v>-35073.75000000001</v>
      </c>
      <c r="K174" s="167"/>
      <c r="L174" s="184">
        <f>L173+L157</f>
        <v>635633</v>
      </c>
      <c r="M174" s="184"/>
      <c r="N174" s="119">
        <f>N173+N157</f>
        <v>733640.79</v>
      </c>
      <c r="O174" s="19"/>
      <c r="P174" s="119">
        <f>P173+P157</f>
        <v>752844.8700000001</v>
      </c>
      <c r="Q174" s="119"/>
      <c r="R174" s="119">
        <f>R173+R157</f>
        <v>648938.86</v>
      </c>
      <c r="S174" s="119"/>
      <c r="T174" s="117">
        <f>T173+T157</f>
        <v>740041.6200000001</v>
      </c>
      <c r="U174" s="118"/>
      <c r="V174" s="117">
        <f>V173+V157</f>
        <v>679607.2</v>
      </c>
      <c r="W174" s="118"/>
      <c r="X174" s="117">
        <f>X173+X157</f>
        <v>647998.19</v>
      </c>
      <c r="Y174" s="118"/>
      <c r="AB174" s="7">
        <f t="shared" si="24"/>
        <v>62730.26860000007</v>
      </c>
      <c r="AG174" s="235"/>
      <c r="AH174" s="236"/>
      <c r="AI174" s="145"/>
      <c r="AJ174" s="145" t="s">
        <v>345</v>
      </c>
      <c r="AK174" s="146">
        <v>1342533.85</v>
      </c>
      <c r="AL174" s="114">
        <f>AL141+AL152+AL160+SUM(AL162:AL173)</f>
        <v>1338961.21</v>
      </c>
      <c r="AM174" s="189">
        <f>AL174-AK174</f>
        <v>-3572.6400000001304</v>
      </c>
      <c r="AN174" s="145" t="s">
        <v>345</v>
      </c>
      <c r="AO174" s="146">
        <v>2765260.23</v>
      </c>
      <c r="AP174" s="145"/>
      <c r="AR174" s="150" t="s">
        <v>398</v>
      </c>
      <c r="AS174" s="151">
        <f t="shared" si="25"/>
        <v>2559534.84</v>
      </c>
      <c r="AT174" s="185">
        <f>SUM(AS162:AS173)+AT152+AT160+AT141</f>
        <v>2559273.58</v>
      </c>
      <c r="AW174" s="150" t="s">
        <v>338</v>
      </c>
      <c r="AX174" s="151">
        <v>0</v>
      </c>
      <c r="AY174" s="239"/>
      <c r="AZ174" s="78"/>
      <c r="BA174" s="78"/>
      <c r="BB174" s="145" t="s">
        <v>345</v>
      </c>
      <c r="BC174" s="146">
        <v>2559534.84</v>
      </c>
      <c r="BD174" s="186"/>
      <c r="BE174" s="146">
        <v>2559534.84</v>
      </c>
      <c r="BF174" s="189">
        <f t="shared" si="21"/>
        <v>0</v>
      </c>
      <c r="BG174" s="218"/>
      <c r="BH174" s="189"/>
      <c r="BI174" s="145" t="s">
        <v>345</v>
      </c>
      <c r="BJ174" s="146">
        <v>2730303.24</v>
      </c>
      <c r="BK174" s="150" t="s">
        <v>398</v>
      </c>
      <c r="BL174" s="151">
        <f t="shared" si="26"/>
        <v>0</v>
      </c>
      <c r="BR174" s="145" t="s">
        <v>345</v>
      </c>
      <c r="BS174" s="146">
        <v>2744641.12</v>
      </c>
      <c r="CA174" s="145" t="s">
        <v>345</v>
      </c>
      <c r="CB174" s="146">
        <v>1342533.85</v>
      </c>
    </row>
    <row r="175" spans="1:80" ht="23.25" thickTop="1">
      <c r="A175" s="7">
        <f t="shared" si="22"/>
        <v>170</v>
      </c>
      <c r="C175" s="166"/>
      <c r="D175" s="259"/>
      <c r="E175" s="166"/>
      <c r="F175" s="259"/>
      <c r="G175" s="259"/>
      <c r="H175" s="259"/>
      <c r="I175" s="169"/>
      <c r="J175" s="116"/>
      <c r="K175" s="169"/>
      <c r="L175" s="199"/>
      <c r="N175" s="116"/>
      <c r="P175" s="116"/>
      <c r="Q175" s="116"/>
      <c r="R175" s="116"/>
      <c r="S175" s="116"/>
      <c r="T175" s="115"/>
      <c r="U175" s="112"/>
      <c r="V175" s="114"/>
      <c r="W175" s="112"/>
      <c r="X175" s="114"/>
      <c r="Y175" s="112"/>
      <c r="AB175" s="7">
        <f t="shared" si="24"/>
        <v>0</v>
      </c>
      <c r="AG175" s="235"/>
      <c r="AH175" s="236"/>
      <c r="AI175" s="145"/>
      <c r="AJ175" s="7"/>
      <c r="AK175" s="146"/>
      <c r="AL175" s="189"/>
      <c r="AM175" s="189"/>
      <c r="AO175" s="146"/>
      <c r="AP175" s="145"/>
      <c r="AR175" s="150" t="s">
        <v>216</v>
      </c>
      <c r="AS175" s="151"/>
      <c r="AT175" s="222"/>
      <c r="AW175" s="150" t="s">
        <v>339</v>
      </c>
      <c r="AX175" s="151">
        <v>143.6</v>
      </c>
      <c r="AY175" s="239"/>
      <c r="AZ175" s="78"/>
      <c r="BA175" s="78"/>
      <c r="BB175" s="145" t="s">
        <v>216</v>
      </c>
      <c r="BC175" s="146"/>
      <c r="BD175" s="186"/>
      <c r="BE175" s="146"/>
      <c r="BF175" s="189">
        <f t="shared" si="21"/>
        <v>0</v>
      </c>
      <c r="BG175" s="218"/>
      <c r="BH175" s="189"/>
      <c r="BI175" s="145" t="s">
        <v>216</v>
      </c>
      <c r="BJ175" s="146"/>
      <c r="BK175" s="150" t="s">
        <v>216</v>
      </c>
      <c r="BL175" s="151"/>
      <c r="BR175" s="145" t="s">
        <v>216</v>
      </c>
      <c r="BS175" s="146"/>
      <c r="CA175" s="145" t="s">
        <v>216</v>
      </c>
      <c r="CB175" s="146"/>
    </row>
    <row r="176" spans="1:80" ht="23.25" thickBot="1">
      <c r="A176" s="7">
        <f t="shared" si="22"/>
        <v>171</v>
      </c>
      <c r="B176" s="21" t="s">
        <v>141</v>
      </c>
      <c r="C176" s="255"/>
      <c r="D176" s="212">
        <f>D143-D174</f>
        <v>2991119.1177999997</v>
      </c>
      <c r="E176" s="255"/>
      <c r="F176" s="212">
        <f>F143-F174</f>
        <v>3029374.3038000003</v>
      </c>
      <c r="G176" s="212"/>
      <c r="H176" s="212">
        <f>H143-H174</f>
        <v>2560715.3224000004</v>
      </c>
      <c r="I176" s="243"/>
      <c r="J176" s="136">
        <f>J143-J174</f>
        <v>2098739.4600000004</v>
      </c>
      <c r="K176" s="243"/>
      <c r="L176" s="212">
        <f>L143-L174</f>
        <v>3041485.3279999997</v>
      </c>
      <c r="M176" s="212"/>
      <c r="N176" s="136">
        <f>N143-N174</f>
        <v>2923012.6399999997</v>
      </c>
      <c r="O176" s="21"/>
      <c r="P176" s="136">
        <f>P143-P174</f>
        <v>2739505.05</v>
      </c>
      <c r="Q176" s="136"/>
      <c r="R176" s="136">
        <f>R143-R174</f>
        <v>2989733.5900000003</v>
      </c>
      <c r="S176" s="136"/>
      <c r="T176" s="134">
        <f>T143-T174</f>
        <v>3188382.5100000002</v>
      </c>
      <c r="U176" s="135"/>
      <c r="V176" s="134">
        <f>V143-V174</f>
        <v>3095897.8100000005</v>
      </c>
      <c r="W176" s="135"/>
      <c r="X176" s="134">
        <f>X143-X174</f>
        <v>3142731.44</v>
      </c>
      <c r="Y176" s="135"/>
      <c r="AB176" s="7">
        <f t="shared" si="24"/>
        <v>-38255.186000000685</v>
      </c>
      <c r="AG176" s="235"/>
      <c r="AH176" s="236"/>
      <c r="AI176" s="145"/>
      <c r="AJ176" s="7"/>
      <c r="AK176" s="146"/>
      <c r="AL176" s="189"/>
      <c r="AM176" s="189"/>
      <c r="AO176" s="146"/>
      <c r="AR176" s="150" t="s">
        <v>216</v>
      </c>
      <c r="AS176" s="151"/>
      <c r="AT176" s="222"/>
      <c r="AW176" s="150" t="s">
        <v>216</v>
      </c>
      <c r="AX176" s="151"/>
      <c r="AY176" s="239"/>
      <c r="AZ176" s="78"/>
      <c r="BA176" s="78"/>
      <c r="BB176" s="145" t="s">
        <v>216</v>
      </c>
      <c r="BC176" s="146"/>
      <c r="BD176" s="186"/>
      <c r="BE176" s="146"/>
      <c r="BF176" s="189">
        <f t="shared" si="21"/>
        <v>0</v>
      </c>
      <c r="BG176" s="218"/>
      <c r="BH176" s="189"/>
      <c r="BI176" s="145" t="s">
        <v>216</v>
      </c>
      <c r="BJ176" s="146"/>
      <c r="BK176" s="150" t="s">
        <v>216</v>
      </c>
      <c r="BL176" s="151"/>
      <c r="BR176" s="145" t="s">
        <v>216</v>
      </c>
      <c r="BS176" s="146"/>
      <c r="CA176" s="145" t="s">
        <v>216</v>
      </c>
      <c r="CB176" s="146"/>
    </row>
    <row r="177" spans="1:80" ht="19.5" thickBot="1" thickTop="1">
      <c r="A177" s="7">
        <f t="shared" si="22"/>
        <v>172</v>
      </c>
      <c r="B177" s="30" t="s">
        <v>153</v>
      </c>
      <c r="C177" s="247"/>
      <c r="D177" s="201">
        <v>120000</v>
      </c>
      <c r="F177" s="201">
        <v>115000</v>
      </c>
      <c r="G177" s="201"/>
      <c r="H177" s="201"/>
      <c r="I177" s="232"/>
      <c r="J177" s="125"/>
      <c r="K177" s="232"/>
      <c r="L177" s="201">
        <v>120000</v>
      </c>
      <c r="M177" s="201"/>
      <c r="N177" s="125"/>
      <c r="O177" s="30"/>
      <c r="P177" s="125"/>
      <c r="Q177" s="125"/>
      <c r="R177" s="125"/>
      <c r="S177" s="125"/>
      <c r="T177" s="114"/>
      <c r="U177" s="112"/>
      <c r="V177" s="114"/>
      <c r="W177" s="112"/>
      <c r="X177" s="114"/>
      <c r="Y177" s="112"/>
      <c r="AB177" s="7">
        <f t="shared" si="24"/>
        <v>5000</v>
      </c>
      <c r="AG177" s="235"/>
      <c r="AH177" s="236"/>
      <c r="AI177" s="145"/>
      <c r="AJ177" s="7"/>
      <c r="AK177" s="146"/>
      <c r="AL177" s="189"/>
      <c r="AM177" s="189"/>
      <c r="AO177" s="146"/>
      <c r="AR177" s="150" t="s">
        <v>216</v>
      </c>
      <c r="AS177" s="151"/>
      <c r="AT177" s="222"/>
      <c r="AW177" s="150" t="s">
        <v>110</v>
      </c>
      <c r="AX177" s="151">
        <v>12728.04</v>
      </c>
      <c r="AY177" s="239"/>
      <c r="AZ177" s="78"/>
      <c r="BA177" s="78"/>
      <c r="BB177" s="145" t="s">
        <v>216</v>
      </c>
      <c r="BC177" s="146"/>
      <c r="BD177" s="186"/>
      <c r="BE177" s="146"/>
      <c r="BF177" s="189">
        <f t="shared" si="21"/>
        <v>0</v>
      </c>
      <c r="BG177" s="218"/>
      <c r="BH177" s="189"/>
      <c r="BI177" s="145" t="s">
        <v>216</v>
      </c>
      <c r="BJ177" s="146"/>
      <c r="BK177" s="150" t="s">
        <v>216</v>
      </c>
      <c r="BL177" s="151"/>
      <c r="BR177" s="145" t="s">
        <v>216</v>
      </c>
      <c r="BS177" s="146"/>
      <c r="CA177" s="145" t="s">
        <v>216</v>
      </c>
      <c r="CB177" s="146"/>
    </row>
    <row r="178" spans="1:80" ht="24" thickBot="1" thickTop="1">
      <c r="A178" s="7">
        <f t="shared" si="22"/>
        <v>173</v>
      </c>
      <c r="B178" s="18" t="s">
        <v>142</v>
      </c>
      <c r="C178" s="243"/>
      <c r="D178" s="184">
        <f>D176+D177</f>
        <v>3111119.1177999997</v>
      </c>
      <c r="E178" s="243"/>
      <c r="F178" s="184">
        <f>F176+F177</f>
        <v>3144374.3038000003</v>
      </c>
      <c r="G178" s="184"/>
      <c r="H178" s="184">
        <v>2750000</v>
      </c>
      <c r="I178" s="18"/>
      <c r="J178" s="139">
        <f>AK227</f>
        <v>2200000.75</v>
      </c>
      <c r="K178" s="18"/>
      <c r="L178" s="184">
        <f>L176+L177</f>
        <v>3161485.3279999997</v>
      </c>
      <c r="M178" s="184"/>
      <c r="N178" s="139">
        <f>AO227</f>
        <v>2999385.45</v>
      </c>
      <c r="O178" s="18"/>
      <c r="P178" s="139">
        <f>AS227</f>
        <v>3117041.51</v>
      </c>
      <c r="Q178" s="139"/>
      <c r="R178" s="139">
        <v>3244643.41</v>
      </c>
      <c r="S178" s="139"/>
      <c r="T178" s="138">
        <v>3236461.13</v>
      </c>
      <c r="U178" s="137"/>
      <c r="V178" s="138">
        <v>3129369</v>
      </c>
      <c r="W178" s="118"/>
      <c r="X178" s="138">
        <v>3156935.27</v>
      </c>
      <c r="Y178" s="118"/>
      <c r="AB178" s="7">
        <f t="shared" si="24"/>
        <v>-33255.186000000685</v>
      </c>
      <c r="AG178" s="235"/>
      <c r="AH178" s="236"/>
      <c r="AI178" s="145"/>
      <c r="AJ178" s="145" t="s">
        <v>346</v>
      </c>
      <c r="AK178" s="146">
        <v>2067238.35</v>
      </c>
      <c r="AL178" s="278">
        <f>AL13+AL22+AL28+AL64+AL81+AL141+AL152+AL160+SUM(AL162:AL173)</f>
        <v>2063665.71</v>
      </c>
      <c r="AM178" s="189">
        <f>AL178-AK178</f>
        <v>-3572.6400000001304</v>
      </c>
      <c r="AN178" s="145" t="s">
        <v>346</v>
      </c>
      <c r="AO178" s="146">
        <v>3890559.43</v>
      </c>
      <c r="AR178" s="150" t="s">
        <v>346</v>
      </c>
      <c r="AS178" s="151">
        <f>BC178</f>
        <v>3725801.18</v>
      </c>
      <c r="AT178" s="185">
        <f>AT174+AT82+AT65+AT27+AT23+AT13</f>
        <v>3725539.92</v>
      </c>
      <c r="AW178" s="150" t="s">
        <v>340</v>
      </c>
      <c r="AX178" s="151">
        <v>364722</v>
      </c>
      <c r="AY178" s="239"/>
      <c r="AZ178" s="78"/>
      <c r="BA178" s="78"/>
      <c r="BB178" s="145" t="s">
        <v>346</v>
      </c>
      <c r="BC178" s="146">
        <v>3725801.18</v>
      </c>
      <c r="BD178" s="186"/>
      <c r="BE178" s="146">
        <v>3725801.18</v>
      </c>
      <c r="BF178" s="189">
        <f t="shared" si="21"/>
        <v>0</v>
      </c>
      <c r="BG178" s="218"/>
      <c r="BH178" s="189"/>
      <c r="BI178" s="145" t="s">
        <v>346</v>
      </c>
      <c r="BJ178" s="146">
        <v>3885423.64</v>
      </c>
      <c r="BK178" s="150" t="s">
        <v>346</v>
      </c>
      <c r="BL178" s="151">
        <f>BV178</f>
        <v>0</v>
      </c>
      <c r="BR178" s="145" t="s">
        <v>346</v>
      </c>
      <c r="BS178" s="146">
        <v>3899761.52</v>
      </c>
      <c r="CA178" s="145" t="s">
        <v>346</v>
      </c>
      <c r="CB178" s="146">
        <v>2067238.35</v>
      </c>
    </row>
    <row r="179" spans="2:80" ht="23.25" thickTop="1">
      <c r="B179" s="90" t="s">
        <v>189</v>
      </c>
      <c r="C179" s="169"/>
      <c r="D179" s="169"/>
      <c r="E179" s="169"/>
      <c r="F179" s="180"/>
      <c r="G179" s="180"/>
      <c r="H179" s="359">
        <f>H178-H176</f>
        <v>189284.6775999996</v>
      </c>
      <c r="I179" s="180"/>
      <c r="J179" s="116">
        <f>J178-J176</f>
        <v>101261.28999999957</v>
      </c>
      <c r="K179" s="180"/>
      <c r="L179" s="213"/>
      <c r="M179" s="213"/>
      <c r="N179" s="116">
        <f>N178-N176</f>
        <v>76372.81000000052</v>
      </c>
      <c r="O179" s="90"/>
      <c r="P179" s="116">
        <f>P178-P176</f>
        <v>377536.45999999996</v>
      </c>
      <c r="Q179" s="116"/>
      <c r="R179" s="116">
        <f>R178-R176</f>
        <v>254909.81999999983</v>
      </c>
      <c r="S179" s="116"/>
      <c r="T179" s="116">
        <f>T178-T176</f>
        <v>48078.619999999646</v>
      </c>
      <c r="U179" s="141"/>
      <c r="V179" s="116">
        <f>V178-V176</f>
        <v>33471.18999999948</v>
      </c>
      <c r="W179" s="112"/>
      <c r="X179" s="114">
        <f>X178-X176</f>
        <v>14203.830000000075</v>
      </c>
      <c r="Y179" s="112"/>
      <c r="AG179" s="235"/>
      <c r="AH179" s="236"/>
      <c r="AI179" s="145"/>
      <c r="AJ179" s="7"/>
      <c r="AK179" s="146"/>
      <c r="AL179" s="189"/>
      <c r="AM179" s="189"/>
      <c r="AO179" s="146"/>
      <c r="AR179" s="150" t="s">
        <v>216</v>
      </c>
      <c r="AS179" s="151"/>
      <c r="AT179" s="222"/>
      <c r="AW179" s="150" t="s">
        <v>341</v>
      </c>
      <c r="AX179" s="151">
        <v>27122.18</v>
      </c>
      <c r="AY179" s="239"/>
      <c r="AZ179" s="78"/>
      <c r="BA179" s="78"/>
      <c r="BB179" s="145" t="s">
        <v>216</v>
      </c>
      <c r="BC179" s="146"/>
      <c r="BD179" s="186"/>
      <c r="BE179" s="146"/>
      <c r="BF179" s="189">
        <f t="shared" si="21"/>
        <v>0</v>
      </c>
      <c r="BG179" s="218"/>
      <c r="BH179" s="189"/>
      <c r="BI179" s="145" t="s">
        <v>216</v>
      </c>
      <c r="BJ179" s="146"/>
      <c r="BK179" s="150" t="s">
        <v>216</v>
      </c>
      <c r="BL179" s="151"/>
      <c r="BR179" s="145" t="s">
        <v>216</v>
      </c>
      <c r="BS179" s="146"/>
      <c r="CA179" s="145" t="s">
        <v>216</v>
      </c>
      <c r="CB179" s="146"/>
    </row>
    <row r="180" spans="2:80" ht="22.5">
      <c r="B180" s="106" t="s">
        <v>193</v>
      </c>
      <c r="C180" s="177"/>
      <c r="D180" s="288">
        <f>(D178-F178)/F178</f>
        <v>-0.010576090117455654</v>
      </c>
      <c r="E180" s="177"/>
      <c r="F180" s="248"/>
      <c r="G180" s="248"/>
      <c r="H180" s="358"/>
      <c r="I180" s="181"/>
      <c r="J180" s="279"/>
      <c r="K180" s="181"/>
      <c r="L180" s="214"/>
      <c r="M180" s="214"/>
      <c r="N180" s="214"/>
      <c r="O180" s="106"/>
      <c r="P180" s="111"/>
      <c r="Q180" s="111"/>
      <c r="R180" s="111"/>
      <c r="S180" s="111"/>
      <c r="V180" s="29"/>
      <c r="X180" s="29"/>
      <c r="AG180" s="235"/>
      <c r="AH180" s="236"/>
      <c r="AI180" s="145"/>
      <c r="AJ180" s="7"/>
      <c r="AK180" s="146"/>
      <c r="AL180" s="189"/>
      <c r="AM180" s="189"/>
      <c r="AO180" s="146"/>
      <c r="AR180" s="150" t="s">
        <v>216</v>
      </c>
      <c r="AS180" s="151"/>
      <c r="AT180" s="222"/>
      <c r="AW180" s="150" t="s">
        <v>342</v>
      </c>
      <c r="AX180" s="151">
        <v>6485.18</v>
      </c>
      <c r="AY180" s="239"/>
      <c r="AZ180" s="78"/>
      <c r="BA180" s="78"/>
      <c r="BB180" s="145" t="s">
        <v>216</v>
      </c>
      <c r="BC180" s="146"/>
      <c r="BD180" s="186"/>
      <c r="BE180" s="146"/>
      <c r="BF180" s="189">
        <f t="shared" si="21"/>
        <v>0</v>
      </c>
      <c r="BG180" s="218"/>
      <c r="BH180" s="189"/>
      <c r="BI180" s="145" t="s">
        <v>216</v>
      </c>
      <c r="BJ180" s="146"/>
      <c r="BK180" s="150" t="s">
        <v>216</v>
      </c>
      <c r="BL180" s="151"/>
      <c r="BR180" s="145" t="s">
        <v>216</v>
      </c>
      <c r="BS180" s="146"/>
      <c r="CA180" s="145" t="s">
        <v>216</v>
      </c>
      <c r="CB180" s="146"/>
    </row>
    <row r="181" spans="6:80" ht="18.75">
      <c r="F181" s="78"/>
      <c r="G181" s="78"/>
      <c r="H181" s="78"/>
      <c r="I181" s="78"/>
      <c r="J181" s="78"/>
      <c r="K181" s="78"/>
      <c r="P181" s="111"/>
      <c r="Q181" s="111"/>
      <c r="R181" s="111"/>
      <c r="S181" s="111"/>
      <c r="X181" s="29"/>
      <c r="AG181" s="235"/>
      <c r="AH181" s="236"/>
      <c r="AI181" s="145"/>
      <c r="AJ181" s="7"/>
      <c r="AK181" s="146"/>
      <c r="AL181" s="189"/>
      <c r="AM181" s="189"/>
      <c r="AO181" s="146"/>
      <c r="AR181" s="150" t="s">
        <v>216</v>
      </c>
      <c r="AS181" s="151"/>
      <c r="AT181" s="222"/>
      <c r="AW181" s="150" t="s">
        <v>343</v>
      </c>
      <c r="AX181" s="151">
        <v>13097.08</v>
      </c>
      <c r="AY181" s="239"/>
      <c r="AZ181" s="78"/>
      <c r="BA181" s="78"/>
      <c r="BB181" s="145" t="s">
        <v>216</v>
      </c>
      <c r="BC181" s="146"/>
      <c r="BD181" s="186"/>
      <c r="BE181" s="146"/>
      <c r="BF181" s="189">
        <f t="shared" si="21"/>
        <v>0</v>
      </c>
      <c r="BG181" s="218"/>
      <c r="BH181" s="189"/>
      <c r="BI181" s="145" t="s">
        <v>216</v>
      </c>
      <c r="BJ181" s="146"/>
      <c r="BK181" s="150" t="s">
        <v>216</v>
      </c>
      <c r="BL181" s="151"/>
      <c r="BR181" s="145" t="s">
        <v>216</v>
      </c>
      <c r="BS181" s="146"/>
      <c r="CA181" s="145" t="s">
        <v>216</v>
      </c>
      <c r="CB181" s="146"/>
    </row>
    <row r="182" spans="2:80" ht="18.75" thickBot="1">
      <c r="B182" s="7" t="s">
        <v>429</v>
      </c>
      <c r="C182" s="161"/>
      <c r="D182" s="161">
        <v>13045986</v>
      </c>
      <c r="E182" s="161"/>
      <c r="F182" s="98"/>
      <c r="G182" s="98"/>
      <c r="H182" s="98"/>
      <c r="J182" s="98" t="s">
        <v>418</v>
      </c>
      <c r="L182" s="7"/>
      <c r="N182" s="98" t="s">
        <v>403</v>
      </c>
      <c r="R182" s="98" t="s">
        <v>390</v>
      </c>
      <c r="V182" s="98" t="s">
        <v>385</v>
      </c>
      <c r="Y182" s="78"/>
      <c r="Z182" s="78"/>
      <c r="AG182" s="78"/>
      <c r="AH182" s="123"/>
      <c r="AI182" s="145"/>
      <c r="AJ182" s="145" t="s">
        <v>347</v>
      </c>
      <c r="AK182" s="146"/>
      <c r="AL182" s="189"/>
      <c r="AM182" s="189"/>
      <c r="AN182" s="145" t="s">
        <v>347</v>
      </c>
      <c r="AO182" s="146"/>
      <c r="AR182" s="150" t="s">
        <v>347</v>
      </c>
      <c r="AS182" s="151"/>
      <c r="AT182" s="185"/>
      <c r="AW182" s="150" t="s">
        <v>344</v>
      </c>
      <c r="AX182" s="153">
        <v>435861.27</v>
      </c>
      <c r="AY182" s="239"/>
      <c r="AZ182" s="78"/>
      <c r="BA182" s="78"/>
      <c r="BB182" s="145" t="s">
        <v>347</v>
      </c>
      <c r="BC182" s="146"/>
      <c r="BD182" s="186"/>
      <c r="BE182" s="146"/>
      <c r="BF182" s="189">
        <f t="shared" si="21"/>
        <v>0</v>
      </c>
      <c r="BG182" s="218"/>
      <c r="BH182" s="189"/>
      <c r="BI182" s="145" t="s">
        <v>347</v>
      </c>
      <c r="BJ182" s="146"/>
      <c r="BK182" s="150" t="s">
        <v>347</v>
      </c>
      <c r="BL182" s="151"/>
      <c r="BR182" s="145" t="s">
        <v>347</v>
      </c>
      <c r="BS182" s="146"/>
      <c r="CA182" s="145" t="s">
        <v>347</v>
      </c>
      <c r="CB182" s="146"/>
    </row>
    <row r="183" spans="2:80" ht="18">
      <c r="B183" s="28" t="s">
        <v>430</v>
      </c>
      <c r="F183" s="107"/>
      <c r="G183" s="107"/>
      <c r="H183" s="107"/>
      <c r="I183" s="92"/>
      <c r="J183" s="94" t="s">
        <v>419</v>
      </c>
      <c r="K183" s="91"/>
      <c r="L183" s="109">
        <f>J178-F178</f>
        <v>-944373.5538000003</v>
      </c>
      <c r="N183" s="94" t="s">
        <v>404</v>
      </c>
      <c r="O183" s="91"/>
      <c r="P183" s="109">
        <f>N178-L178</f>
        <v>-162099.87799999956</v>
      </c>
      <c r="R183" s="94" t="s">
        <v>391</v>
      </c>
      <c r="S183" s="91"/>
      <c r="T183" s="109">
        <f>-23924</f>
        <v>-23924</v>
      </c>
      <c r="V183" s="94" t="s">
        <v>212</v>
      </c>
      <c r="W183" s="91"/>
      <c r="X183" s="109">
        <v>-123840.78572000004</v>
      </c>
      <c r="Y183" s="78"/>
      <c r="Z183" s="78"/>
      <c r="AG183" s="78"/>
      <c r="AH183" s="123"/>
      <c r="AI183" s="156"/>
      <c r="AJ183" s="156" t="s">
        <v>216</v>
      </c>
      <c r="AK183" s="146"/>
      <c r="AL183" s="189"/>
      <c r="AM183" s="189"/>
      <c r="AN183" s="156" t="s">
        <v>216</v>
      </c>
      <c r="AO183" s="146"/>
      <c r="AR183" s="152" t="s">
        <v>216</v>
      </c>
      <c r="AS183" s="151"/>
      <c r="AT183" s="222"/>
      <c r="AY183" s="239"/>
      <c r="AZ183" s="78"/>
      <c r="BA183" s="78"/>
      <c r="BB183" s="156" t="s">
        <v>216</v>
      </c>
      <c r="BC183" s="146"/>
      <c r="BD183" s="186"/>
      <c r="BE183" s="146"/>
      <c r="BF183" s="189">
        <f t="shared" si="21"/>
        <v>0</v>
      </c>
      <c r="BG183" s="218"/>
      <c r="BH183" s="189"/>
      <c r="BI183" s="156" t="s">
        <v>216</v>
      </c>
      <c r="BJ183" s="146"/>
      <c r="BK183" s="152" t="s">
        <v>216</v>
      </c>
      <c r="BL183" s="151"/>
      <c r="BR183" s="156" t="s">
        <v>216</v>
      </c>
      <c r="BS183" s="146"/>
      <c r="CA183" s="156" t="s">
        <v>216</v>
      </c>
      <c r="CB183" s="146"/>
    </row>
    <row r="184" spans="2:80" ht="18">
      <c r="B184" s="28"/>
      <c r="F184" s="107"/>
      <c r="G184" s="107"/>
      <c r="H184" s="107"/>
      <c r="I184" s="92"/>
      <c r="J184" s="95" t="s">
        <v>420</v>
      </c>
      <c r="K184" s="78"/>
      <c r="L184" s="99">
        <f>F177</f>
        <v>115000</v>
      </c>
      <c r="N184" s="95" t="s">
        <v>405</v>
      </c>
      <c r="O184" s="78"/>
      <c r="P184" s="99">
        <f>L177</f>
        <v>120000</v>
      </c>
      <c r="R184" s="95" t="s">
        <v>392</v>
      </c>
      <c r="S184" s="78"/>
      <c r="T184" s="99">
        <f>188930</f>
        <v>188930</v>
      </c>
      <c r="V184" s="95" t="s">
        <v>213</v>
      </c>
      <c r="X184" s="99">
        <v>202615.59072</v>
      </c>
      <c r="Y184" s="78"/>
      <c r="Z184" s="78"/>
      <c r="AG184" s="78"/>
      <c r="AH184" s="123"/>
      <c r="AI184" s="145"/>
      <c r="AJ184" s="145" t="s">
        <v>348</v>
      </c>
      <c r="AK184" s="146"/>
      <c r="AL184" s="189"/>
      <c r="AM184" s="189"/>
      <c r="AN184" s="145" t="s">
        <v>348</v>
      </c>
      <c r="AO184" s="146"/>
      <c r="AR184" s="150" t="s">
        <v>348</v>
      </c>
      <c r="AS184" s="151"/>
      <c r="AT184" s="222"/>
      <c r="AW184" s="150" t="s">
        <v>345</v>
      </c>
      <c r="AX184" s="151">
        <v>2559534.84</v>
      </c>
      <c r="AY184" s="239"/>
      <c r="AZ184" s="78"/>
      <c r="BA184" s="78"/>
      <c r="BB184" s="145" t="s">
        <v>348</v>
      </c>
      <c r="BC184" s="146"/>
      <c r="BD184" s="186"/>
      <c r="BE184" s="146"/>
      <c r="BF184" s="189">
        <f t="shared" si="21"/>
        <v>0</v>
      </c>
      <c r="BG184" s="218"/>
      <c r="BH184" s="189"/>
      <c r="BI184" s="145" t="s">
        <v>348</v>
      </c>
      <c r="BJ184" s="146"/>
      <c r="BK184" s="150" t="s">
        <v>348</v>
      </c>
      <c r="BL184" s="151"/>
      <c r="BR184" s="145" t="s">
        <v>348</v>
      </c>
      <c r="BS184" s="146"/>
      <c r="CA184" s="145" t="s">
        <v>348</v>
      </c>
      <c r="CB184" s="146"/>
    </row>
    <row r="185" spans="2:80" ht="18">
      <c r="B185" s="268" t="s">
        <v>427</v>
      </c>
      <c r="D185" s="78">
        <f>D182*0.25</f>
        <v>3261496.5</v>
      </c>
      <c r="F185" s="108"/>
      <c r="G185" s="108"/>
      <c r="H185" s="108"/>
      <c r="I185" s="92"/>
      <c r="J185" s="96" t="s">
        <v>181</v>
      </c>
      <c r="K185" s="78"/>
      <c r="L185" s="92">
        <f>L183+L184</f>
        <v>-829373.5538000003</v>
      </c>
      <c r="N185" s="96" t="s">
        <v>181</v>
      </c>
      <c r="O185" s="78"/>
      <c r="P185" s="92">
        <f>P183+P184</f>
        <v>-42099.87799999956</v>
      </c>
      <c r="R185" s="96" t="s">
        <v>181</v>
      </c>
      <c r="S185" s="78"/>
      <c r="T185" s="92">
        <f>T183+T184</f>
        <v>165006</v>
      </c>
      <c r="V185" s="96" t="s">
        <v>181</v>
      </c>
      <c r="X185" s="92">
        <f>X183+X184</f>
        <v>78774.80499999996</v>
      </c>
      <c r="Y185" s="78"/>
      <c r="Z185" s="78"/>
      <c r="AG185" s="78"/>
      <c r="AH185" s="123"/>
      <c r="AI185" s="145"/>
      <c r="AJ185" s="145" t="s">
        <v>349</v>
      </c>
      <c r="AK185" s="146">
        <v>0</v>
      </c>
      <c r="AL185" s="189"/>
      <c r="AM185" s="189"/>
      <c r="AN185" s="145" t="s">
        <v>349</v>
      </c>
      <c r="AO185" s="146">
        <v>18110.5</v>
      </c>
      <c r="AP185" s="145"/>
      <c r="AR185" s="150" t="s">
        <v>349</v>
      </c>
      <c r="AS185" s="151">
        <f aca="true" t="shared" si="27" ref="AS185:AS211">BC185</f>
        <v>21284.5</v>
      </c>
      <c r="AT185" s="222"/>
      <c r="AY185" s="239"/>
      <c r="AZ185" s="78"/>
      <c r="BA185" s="78"/>
      <c r="BB185" s="145" t="s">
        <v>349</v>
      </c>
      <c r="BC185" s="146">
        <v>21284.5</v>
      </c>
      <c r="BD185" s="186"/>
      <c r="BE185" s="146">
        <v>21284.5</v>
      </c>
      <c r="BF185" s="189">
        <f t="shared" si="21"/>
        <v>0</v>
      </c>
      <c r="BG185" s="218"/>
      <c r="BH185" s="189"/>
      <c r="BI185" s="145" t="s">
        <v>349</v>
      </c>
      <c r="BJ185" s="146">
        <v>18110.5</v>
      </c>
      <c r="BK185" s="150" t="s">
        <v>349</v>
      </c>
      <c r="BL185" s="151">
        <f aca="true" t="shared" si="28" ref="BL185:BL210">BV185</f>
        <v>0</v>
      </c>
      <c r="BR185" s="145" t="s">
        <v>349</v>
      </c>
      <c r="BS185" s="146">
        <v>18110.5</v>
      </c>
      <c r="CA185" s="145" t="s">
        <v>349</v>
      </c>
      <c r="CB185" s="146">
        <v>0</v>
      </c>
    </row>
    <row r="186" spans="2:80" ht="18">
      <c r="B186" s="269" t="s">
        <v>428</v>
      </c>
      <c r="F186" s="107"/>
      <c r="G186" s="107"/>
      <c r="H186" s="107"/>
      <c r="I186" s="92"/>
      <c r="J186" s="95" t="s">
        <v>421</v>
      </c>
      <c r="K186" s="78"/>
      <c r="L186" s="92">
        <f>J176</f>
        <v>2098739.4600000004</v>
      </c>
      <c r="N186" s="95" t="s">
        <v>406</v>
      </c>
      <c r="O186" s="78"/>
      <c r="P186" s="92">
        <f>N176</f>
        <v>2923012.6399999997</v>
      </c>
      <c r="R186" s="95" t="s">
        <v>393</v>
      </c>
      <c r="S186" s="78"/>
      <c r="T186" s="92">
        <f>P176</f>
        <v>2739505.05</v>
      </c>
      <c r="V186" s="95" t="s">
        <v>214</v>
      </c>
      <c r="X186" s="92">
        <f>R176</f>
        <v>2989733.5900000003</v>
      </c>
      <c r="Y186" s="78"/>
      <c r="Z186" s="78"/>
      <c r="AG186" s="78"/>
      <c r="AH186" s="123"/>
      <c r="AI186" s="145"/>
      <c r="AJ186" s="145" t="s">
        <v>350</v>
      </c>
      <c r="AK186" s="146">
        <v>4000</v>
      </c>
      <c r="AL186" s="189"/>
      <c r="AM186" s="189"/>
      <c r="AN186" s="145" t="s">
        <v>350</v>
      </c>
      <c r="AO186" s="146">
        <v>4000</v>
      </c>
      <c r="AP186" s="145"/>
      <c r="AR186" s="150" t="s">
        <v>350</v>
      </c>
      <c r="AS186" s="151">
        <f t="shared" si="27"/>
        <v>4000</v>
      </c>
      <c r="AT186" s="222"/>
      <c r="AY186" s="239"/>
      <c r="AZ186" s="78"/>
      <c r="BA186" s="78"/>
      <c r="BB186" s="145" t="s">
        <v>350</v>
      </c>
      <c r="BC186" s="146">
        <v>4000</v>
      </c>
      <c r="BD186" s="186"/>
      <c r="BE186" s="146">
        <v>4000</v>
      </c>
      <c r="BF186" s="189">
        <f t="shared" si="21"/>
        <v>0</v>
      </c>
      <c r="BG186" s="218"/>
      <c r="BH186" s="189"/>
      <c r="BI186" s="145" t="s">
        <v>350</v>
      </c>
      <c r="BJ186" s="146">
        <v>4000</v>
      </c>
      <c r="BK186" s="150" t="s">
        <v>350</v>
      </c>
      <c r="BL186" s="151">
        <f t="shared" si="28"/>
        <v>0</v>
      </c>
      <c r="BR186" s="145" t="s">
        <v>350</v>
      </c>
      <c r="BS186" s="146">
        <v>4000</v>
      </c>
      <c r="CA186" s="145" t="s">
        <v>350</v>
      </c>
      <c r="CB186" s="146">
        <v>4000</v>
      </c>
    </row>
    <row r="187" spans="2:80" ht="18">
      <c r="B187" s="77"/>
      <c r="C187" s="77"/>
      <c r="D187" s="77"/>
      <c r="E187" s="77"/>
      <c r="F187" s="107"/>
      <c r="G187" s="107"/>
      <c r="H187" s="107"/>
      <c r="I187" s="92"/>
      <c r="J187" s="95" t="s">
        <v>422</v>
      </c>
      <c r="K187" s="78"/>
      <c r="L187" s="99">
        <f>F176</f>
        <v>3029374.3038000003</v>
      </c>
      <c r="N187" s="95" t="s">
        <v>407</v>
      </c>
      <c r="O187" s="78"/>
      <c r="P187" s="99">
        <f>L176</f>
        <v>3041485.3279999997</v>
      </c>
      <c r="R187" s="95" t="s">
        <v>394</v>
      </c>
      <c r="S187" s="78"/>
      <c r="T187" s="92">
        <f>2952035</f>
        <v>2952035</v>
      </c>
      <c r="V187" s="95" t="s">
        <v>215</v>
      </c>
      <c r="X187" s="99">
        <v>3165868.605</v>
      </c>
      <c r="Y187" s="78"/>
      <c r="Z187" s="78"/>
      <c r="AG187" s="78"/>
      <c r="AH187" s="123"/>
      <c r="AI187" s="145"/>
      <c r="AJ187" s="145" t="s">
        <v>395</v>
      </c>
      <c r="AK187" s="146">
        <v>0</v>
      </c>
      <c r="AL187" s="189"/>
      <c r="AM187" s="189"/>
      <c r="AN187" s="145" t="s">
        <v>395</v>
      </c>
      <c r="AO187" s="146">
        <v>0</v>
      </c>
      <c r="AP187" s="145"/>
      <c r="AR187" s="150" t="s">
        <v>397</v>
      </c>
      <c r="AS187" s="151">
        <f t="shared" si="27"/>
        <v>0</v>
      </c>
      <c r="AT187" s="222"/>
      <c r="AY187" s="239"/>
      <c r="AZ187" s="78"/>
      <c r="BA187" s="78"/>
      <c r="BB187" s="145" t="s">
        <v>395</v>
      </c>
      <c r="BC187" s="146">
        <v>0</v>
      </c>
      <c r="BD187" s="186"/>
      <c r="BE187" s="146">
        <v>0</v>
      </c>
      <c r="BF187" s="189">
        <f t="shared" si="21"/>
        <v>0</v>
      </c>
      <c r="BG187" s="218"/>
      <c r="BH187" s="189"/>
      <c r="BI187" s="145" t="s">
        <v>395</v>
      </c>
      <c r="BJ187" s="146">
        <v>0</v>
      </c>
      <c r="BK187" s="150" t="s">
        <v>397</v>
      </c>
      <c r="BL187" s="151">
        <f t="shared" si="28"/>
        <v>0</v>
      </c>
      <c r="BR187" s="145" t="s">
        <v>395</v>
      </c>
      <c r="BS187" s="146">
        <v>0</v>
      </c>
      <c r="CA187" s="145" t="s">
        <v>395</v>
      </c>
      <c r="CB187" s="146">
        <v>0</v>
      </c>
    </row>
    <row r="188" spans="2:80" ht="18">
      <c r="B188" s="78"/>
      <c r="D188" s="78">
        <f>D178-D185</f>
        <v>-150377.38220000034</v>
      </c>
      <c r="F188" s="108"/>
      <c r="G188" s="108"/>
      <c r="H188" s="108"/>
      <c r="I188" s="92"/>
      <c r="J188" s="96" t="s">
        <v>181</v>
      </c>
      <c r="K188" s="78"/>
      <c r="L188" s="100">
        <f>L187-L186</f>
        <v>930634.8437999999</v>
      </c>
      <c r="N188" s="96" t="s">
        <v>181</v>
      </c>
      <c r="O188" s="78"/>
      <c r="P188" s="100">
        <f>P187-P186</f>
        <v>118472.68800000008</v>
      </c>
      <c r="R188" s="96" t="s">
        <v>181</v>
      </c>
      <c r="S188" s="78"/>
      <c r="T188" s="100">
        <f>T187-T186</f>
        <v>212529.9500000002</v>
      </c>
      <c r="V188" s="96" t="s">
        <v>181</v>
      </c>
      <c r="X188" s="100">
        <f>X187-X186</f>
        <v>176135.01499999966</v>
      </c>
      <c r="Y188" s="78"/>
      <c r="Z188" s="78"/>
      <c r="AG188" s="78"/>
      <c r="AH188" s="123"/>
      <c r="AI188" s="145"/>
      <c r="AJ188" s="145" t="s">
        <v>351</v>
      </c>
      <c r="AK188" s="146">
        <v>0</v>
      </c>
      <c r="AL188" s="189"/>
      <c r="AM188" s="189"/>
      <c r="AN188" s="145" t="s">
        <v>351</v>
      </c>
      <c r="AO188" s="146">
        <v>398.08</v>
      </c>
      <c r="AP188" s="145"/>
      <c r="AR188" s="150" t="s">
        <v>351</v>
      </c>
      <c r="AS188" s="151">
        <f t="shared" si="27"/>
        <v>408.42</v>
      </c>
      <c r="AT188" s="222"/>
      <c r="AW188" s="150" t="s">
        <v>346</v>
      </c>
      <c r="AX188" s="151">
        <v>3725801.18</v>
      </c>
      <c r="AY188" s="239"/>
      <c r="AZ188" s="78"/>
      <c r="BA188" s="78"/>
      <c r="BB188" s="145" t="s">
        <v>351</v>
      </c>
      <c r="BC188" s="146">
        <v>408.42</v>
      </c>
      <c r="BD188" s="186"/>
      <c r="BE188" s="146">
        <v>408.42</v>
      </c>
      <c r="BF188" s="189">
        <f t="shared" si="21"/>
        <v>0</v>
      </c>
      <c r="BG188" s="218"/>
      <c r="BH188" s="189"/>
      <c r="BI188" s="145" t="s">
        <v>351</v>
      </c>
      <c r="BJ188" s="146">
        <v>398.08</v>
      </c>
      <c r="BK188" s="150" t="s">
        <v>351</v>
      </c>
      <c r="BL188" s="151">
        <f t="shared" si="28"/>
        <v>0</v>
      </c>
      <c r="BR188" s="145" t="s">
        <v>351</v>
      </c>
      <c r="BS188" s="146">
        <v>398.08</v>
      </c>
      <c r="CA188" s="145" t="s">
        <v>351</v>
      </c>
      <c r="CB188" s="146">
        <v>0</v>
      </c>
    </row>
    <row r="189" spans="2:80" ht="18.75" thickBot="1">
      <c r="B189" s="78"/>
      <c r="F189" s="108"/>
      <c r="G189" s="108"/>
      <c r="H189" s="108"/>
      <c r="I189" s="92"/>
      <c r="J189" s="97" t="s">
        <v>182</v>
      </c>
      <c r="K189" s="93"/>
      <c r="L189" s="101">
        <f>L188+L185</f>
        <v>101261.28999999957</v>
      </c>
      <c r="N189" s="97" t="s">
        <v>182</v>
      </c>
      <c r="O189" s="93"/>
      <c r="P189" s="101">
        <f>P188+P185</f>
        <v>76372.81000000052</v>
      </c>
      <c r="R189" s="97" t="s">
        <v>182</v>
      </c>
      <c r="S189" s="93"/>
      <c r="T189" s="264">
        <f>T188+T185</f>
        <v>377535.9500000002</v>
      </c>
      <c r="V189" s="97" t="s">
        <v>182</v>
      </c>
      <c r="W189" s="93"/>
      <c r="X189" s="101">
        <f>X185+X188</f>
        <v>254909.81999999963</v>
      </c>
      <c r="Y189" s="78"/>
      <c r="Z189" s="78"/>
      <c r="AG189" s="78"/>
      <c r="AH189" s="123"/>
      <c r="AI189" s="145"/>
      <c r="AJ189" s="145" t="s">
        <v>352</v>
      </c>
      <c r="AK189" s="146">
        <v>0</v>
      </c>
      <c r="AL189" s="189"/>
      <c r="AM189" s="189"/>
      <c r="AN189" s="145" t="s">
        <v>352</v>
      </c>
      <c r="AO189" s="146">
        <v>6562.6</v>
      </c>
      <c r="AP189" s="145"/>
      <c r="AR189" s="150" t="s">
        <v>352</v>
      </c>
      <c r="AS189" s="151">
        <f t="shared" si="27"/>
        <v>6738.27</v>
      </c>
      <c r="AT189" s="222"/>
      <c r="AW189" s="150" t="s">
        <v>216</v>
      </c>
      <c r="AX189" s="151"/>
      <c r="AY189" s="239"/>
      <c r="AZ189" s="78"/>
      <c r="BA189" s="78"/>
      <c r="BB189" s="145" t="s">
        <v>352</v>
      </c>
      <c r="BC189" s="146">
        <v>6738.27</v>
      </c>
      <c r="BD189" s="186"/>
      <c r="BE189" s="146">
        <v>6738.27</v>
      </c>
      <c r="BF189" s="189">
        <f t="shared" si="21"/>
        <v>0</v>
      </c>
      <c r="BG189" s="218"/>
      <c r="BH189" s="189"/>
      <c r="BI189" s="145" t="s">
        <v>352</v>
      </c>
      <c r="BJ189" s="146">
        <v>6762.6</v>
      </c>
      <c r="BK189" s="150" t="s">
        <v>352</v>
      </c>
      <c r="BL189" s="151">
        <f t="shared" si="28"/>
        <v>0</v>
      </c>
      <c r="BR189" s="145" t="s">
        <v>352</v>
      </c>
      <c r="BS189" s="146">
        <v>6762.6</v>
      </c>
      <c r="CA189" s="145" t="s">
        <v>352</v>
      </c>
      <c r="CB189" s="146">
        <v>0</v>
      </c>
    </row>
    <row r="190" spans="2:80" ht="18.75">
      <c r="B190" s="78"/>
      <c r="F190" s="78"/>
      <c r="G190" s="78"/>
      <c r="H190" s="78"/>
      <c r="I190" s="78"/>
      <c r="J190" s="78"/>
      <c r="K190" s="78"/>
      <c r="L190" s="216"/>
      <c r="M190" s="216"/>
      <c r="N190" s="216"/>
      <c r="O190" s="78"/>
      <c r="V190" s="78"/>
      <c r="W190" s="78"/>
      <c r="X190" s="160"/>
      <c r="Y190" s="78"/>
      <c r="Z190" s="78"/>
      <c r="AG190" s="78"/>
      <c r="AH190" s="123"/>
      <c r="AI190" s="145"/>
      <c r="AJ190" s="145" t="s">
        <v>353</v>
      </c>
      <c r="AK190" s="146">
        <v>26442</v>
      </c>
      <c r="AL190" s="189"/>
      <c r="AM190" s="189"/>
      <c r="AN190" s="145" t="s">
        <v>353</v>
      </c>
      <c r="AO190" s="146">
        <v>29086.2</v>
      </c>
      <c r="AP190" s="145"/>
      <c r="AR190" s="150" t="s">
        <v>353</v>
      </c>
      <c r="AS190" s="151">
        <f t="shared" si="27"/>
        <v>31730.4</v>
      </c>
      <c r="AT190" s="222"/>
      <c r="AW190" s="150" t="s">
        <v>216</v>
      </c>
      <c r="AX190" s="151"/>
      <c r="AY190" s="239"/>
      <c r="AZ190" s="78"/>
      <c r="BA190" s="78"/>
      <c r="BB190" s="145" t="s">
        <v>353</v>
      </c>
      <c r="BC190" s="146">
        <v>31730.4</v>
      </c>
      <c r="BD190" s="186"/>
      <c r="BE190" s="146">
        <v>31730.4</v>
      </c>
      <c r="BF190" s="189">
        <f t="shared" si="21"/>
        <v>0</v>
      </c>
      <c r="BG190" s="218"/>
      <c r="BH190" s="189"/>
      <c r="BI190" s="145" t="s">
        <v>353</v>
      </c>
      <c r="BJ190" s="146">
        <v>29086.2</v>
      </c>
      <c r="BK190" s="150" t="s">
        <v>353</v>
      </c>
      <c r="BL190" s="151">
        <f t="shared" si="28"/>
        <v>0</v>
      </c>
      <c r="BR190" s="145" t="s">
        <v>353</v>
      </c>
      <c r="BS190" s="146">
        <v>29086.2</v>
      </c>
      <c r="CA190" s="145" t="s">
        <v>353</v>
      </c>
      <c r="CB190" s="146">
        <v>26442</v>
      </c>
    </row>
    <row r="191" spans="2:80" ht="18.75"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M191" s="217"/>
      <c r="N191" s="217"/>
      <c r="O191" s="161"/>
      <c r="X191" s="29"/>
      <c r="AG191" s="78"/>
      <c r="AH191" s="123"/>
      <c r="AI191" s="145"/>
      <c r="AJ191" s="145" t="s">
        <v>38</v>
      </c>
      <c r="AK191" s="146">
        <v>0</v>
      </c>
      <c r="AL191" s="189"/>
      <c r="AM191" s="189"/>
      <c r="AN191" s="145" t="s">
        <v>38</v>
      </c>
      <c r="AO191" s="146">
        <v>1503.34</v>
      </c>
      <c r="AP191" s="145"/>
      <c r="AR191" s="150" t="s">
        <v>38</v>
      </c>
      <c r="AS191" s="151">
        <f t="shared" si="27"/>
        <v>1542.39</v>
      </c>
      <c r="AT191" s="222"/>
      <c r="AW191" s="150" t="s">
        <v>216</v>
      </c>
      <c r="AX191" s="151"/>
      <c r="AY191" s="239"/>
      <c r="AZ191" s="78"/>
      <c r="BA191" s="78"/>
      <c r="BB191" s="145" t="s">
        <v>38</v>
      </c>
      <c r="BC191" s="146">
        <v>1542.39</v>
      </c>
      <c r="BD191" s="186"/>
      <c r="BE191" s="146">
        <v>1542.39</v>
      </c>
      <c r="BF191" s="189">
        <f t="shared" si="21"/>
        <v>0</v>
      </c>
      <c r="BG191" s="218"/>
      <c r="BH191" s="189"/>
      <c r="BI191" s="145" t="s">
        <v>38</v>
      </c>
      <c r="BJ191" s="146">
        <v>1503.34</v>
      </c>
      <c r="BK191" s="150" t="s">
        <v>38</v>
      </c>
      <c r="BL191" s="151">
        <f t="shared" si="28"/>
        <v>0</v>
      </c>
      <c r="BR191" s="145" t="s">
        <v>38</v>
      </c>
      <c r="BS191" s="146">
        <v>1503.34</v>
      </c>
      <c r="CA191" s="145" t="s">
        <v>38</v>
      </c>
      <c r="CB191" s="146">
        <v>0</v>
      </c>
    </row>
    <row r="192" spans="2:80" ht="18.75">
      <c r="B192" s="161"/>
      <c r="D192" s="78">
        <f>D178-F178</f>
        <v>-33255.186000000685</v>
      </c>
      <c r="F192" s="78"/>
      <c r="G192" s="78"/>
      <c r="H192" s="78"/>
      <c r="I192" s="78"/>
      <c r="J192" s="78"/>
      <c r="K192" s="78"/>
      <c r="M192" s="216"/>
      <c r="N192" s="216"/>
      <c r="O192" s="78"/>
      <c r="T192" s="110"/>
      <c r="X192" s="29"/>
      <c r="AG192" s="235"/>
      <c r="AH192" s="236"/>
      <c r="AI192" s="145"/>
      <c r="AJ192" s="145" t="s">
        <v>354</v>
      </c>
      <c r="AK192" s="146">
        <v>0</v>
      </c>
      <c r="AL192" s="189"/>
      <c r="AM192" s="189"/>
      <c r="AN192" s="145" t="s">
        <v>354</v>
      </c>
      <c r="AO192" s="146">
        <v>10041.1</v>
      </c>
      <c r="AP192" s="145"/>
      <c r="AR192" s="150" t="s">
        <v>354</v>
      </c>
      <c r="AS192" s="151">
        <f t="shared" si="27"/>
        <v>10346.66</v>
      </c>
      <c r="AT192" s="222"/>
      <c r="AW192" s="150" t="s">
        <v>347</v>
      </c>
      <c r="AX192" s="151"/>
      <c r="AY192" s="239"/>
      <c r="AZ192" s="78"/>
      <c r="BA192" s="78"/>
      <c r="BB192" s="145" t="s">
        <v>354</v>
      </c>
      <c r="BC192" s="146">
        <v>10346.66</v>
      </c>
      <c r="BD192" s="186"/>
      <c r="BE192" s="146">
        <v>10346.66</v>
      </c>
      <c r="BF192" s="189">
        <f t="shared" si="21"/>
        <v>0</v>
      </c>
      <c r="BG192" s="218"/>
      <c r="BH192" s="189"/>
      <c r="BI192" s="145" t="s">
        <v>354</v>
      </c>
      <c r="BJ192" s="146">
        <v>10041.1</v>
      </c>
      <c r="BK192" s="150" t="s">
        <v>354</v>
      </c>
      <c r="BL192" s="151">
        <f t="shared" si="28"/>
        <v>0</v>
      </c>
      <c r="BR192" s="145" t="s">
        <v>354</v>
      </c>
      <c r="BS192" s="146">
        <v>10041.1</v>
      </c>
      <c r="CA192" s="145" t="s">
        <v>354</v>
      </c>
      <c r="CB192" s="146">
        <v>0</v>
      </c>
    </row>
    <row r="193" spans="2:80" ht="18.75">
      <c r="B193" s="78"/>
      <c r="F193" s="78"/>
      <c r="G193" s="78"/>
      <c r="H193" s="78"/>
      <c r="I193" s="78"/>
      <c r="J193" s="78"/>
      <c r="K193" s="78"/>
      <c r="M193" s="216"/>
      <c r="N193" s="216"/>
      <c r="O193" s="78"/>
      <c r="T193" s="107"/>
      <c r="X193" s="29"/>
      <c r="AG193" s="235"/>
      <c r="AH193" s="236"/>
      <c r="AI193" s="145"/>
      <c r="AJ193" s="145" t="s">
        <v>355</v>
      </c>
      <c r="AK193" s="146">
        <v>0</v>
      </c>
      <c r="AL193" s="189"/>
      <c r="AM193" s="189"/>
      <c r="AN193" s="145" t="s">
        <v>355</v>
      </c>
      <c r="AO193" s="146">
        <v>6777.93</v>
      </c>
      <c r="AP193" s="145"/>
      <c r="AR193" s="150" t="s">
        <v>355</v>
      </c>
      <c r="AS193" s="151">
        <f t="shared" si="27"/>
        <v>6954.01</v>
      </c>
      <c r="AT193" s="222"/>
      <c r="AW193" s="152" t="s">
        <v>216</v>
      </c>
      <c r="AX193" s="151"/>
      <c r="AY193" s="239"/>
      <c r="AZ193" s="78"/>
      <c r="BA193" s="78"/>
      <c r="BB193" s="145" t="s">
        <v>355</v>
      </c>
      <c r="BC193" s="146">
        <v>6954.01</v>
      </c>
      <c r="BD193" s="186"/>
      <c r="BE193" s="146">
        <v>6954.01</v>
      </c>
      <c r="BF193" s="189">
        <f t="shared" si="21"/>
        <v>0</v>
      </c>
      <c r="BG193" s="218"/>
      <c r="BH193" s="189"/>
      <c r="BI193" s="145" t="s">
        <v>355</v>
      </c>
      <c r="BJ193" s="146">
        <v>6777.93</v>
      </c>
      <c r="BK193" s="150" t="s">
        <v>355</v>
      </c>
      <c r="BL193" s="151">
        <f t="shared" si="28"/>
        <v>0</v>
      </c>
      <c r="BR193" s="145" t="s">
        <v>355</v>
      </c>
      <c r="BS193" s="146">
        <v>6777.93</v>
      </c>
      <c r="CA193" s="145" t="s">
        <v>355</v>
      </c>
      <c r="CB193" s="146">
        <v>0</v>
      </c>
    </row>
    <row r="194" spans="2:80" ht="18.75">
      <c r="B194" s="78"/>
      <c r="C194" s="77"/>
      <c r="D194" s="77"/>
      <c r="E194" s="77"/>
      <c r="F194" s="77"/>
      <c r="G194" s="77"/>
      <c r="H194" s="77"/>
      <c r="I194" s="77"/>
      <c r="J194" s="77"/>
      <c r="K194" s="77"/>
      <c r="M194" s="215"/>
      <c r="N194" s="215"/>
      <c r="O194" s="77"/>
      <c r="T194" s="107"/>
      <c r="X194" s="29"/>
      <c r="AG194" s="235"/>
      <c r="AH194" s="236"/>
      <c r="AI194" s="145"/>
      <c r="AJ194" s="145" t="s">
        <v>356</v>
      </c>
      <c r="AK194" s="146">
        <v>0</v>
      </c>
      <c r="AL194" s="189"/>
      <c r="AM194" s="189"/>
      <c r="AN194" s="145" t="s">
        <v>356</v>
      </c>
      <c r="AO194" s="146">
        <v>7052.82</v>
      </c>
      <c r="AP194" s="145"/>
      <c r="AR194" s="150" t="s">
        <v>356</v>
      </c>
      <c r="AS194" s="151">
        <f t="shared" si="27"/>
        <v>7234.89</v>
      </c>
      <c r="AT194" s="222"/>
      <c r="AW194" s="150" t="s">
        <v>348</v>
      </c>
      <c r="AX194" s="151"/>
      <c r="AY194" s="239"/>
      <c r="AZ194" s="78"/>
      <c r="BA194" s="78"/>
      <c r="BB194" s="145" t="s">
        <v>356</v>
      </c>
      <c r="BC194" s="146">
        <v>7234.89</v>
      </c>
      <c r="BD194" s="186"/>
      <c r="BE194" s="146">
        <v>7234.89</v>
      </c>
      <c r="BF194" s="189">
        <f t="shared" si="21"/>
        <v>0</v>
      </c>
      <c r="BG194" s="218"/>
      <c r="BH194" s="189"/>
      <c r="BI194" s="145" t="s">
        <v>356</v>
      </c>
      <c r="BJ194" s="146">
        <v>7052.82</v>
      </c>
      <c r="BK194" s="150" t="s">
        <v>356</v>
      </c>
      <c r="BL194" s="151">
        <f t="shared" si="28"/>
        <v>0</v>
      </c>
      <c r="BR194" s="145" t="s">
        <v>356</v>
      </c>
      <c r="BS194" s="146">
        <v>7052.82</v>
      </c>
      <c r="CA194" s="145" t="s">
        <v>356</v>
      </c>
      <c r="CB194" s="146">
        <v>0</v>
      </c>
    </row>
    <row r="195" spans="2:80" ht="18.75">
      <c r="B195" s="78"/>
      <c r="F195" s="78"/>
      <c r="G195" s="78"/>
      <c r="H195" s="78"/>
      <c r="I195" s="78"/>
      <c r="J195" s="78"/>
      <c r="K195" s="78"/>
      <c r="M195" s="216"/>
      <c r="N195" s="216"/>
      <c r="O195" s="78"/>
      <c r="T195" s="108"/>
      <c r="X195" s="29"/>
      <c r="AG195" s="235"/>
      <c r="AH195" s="236"/>
      <c r="AI195" s="145"/>
      <c r="AJ195" s="145" t="s">
        <v>357</v>
      </c>
      <c r="AK195" s="146">
        <v>0</v>
      </c>
      <c r="AL195" s="189"/>
      <c r="AM195" s="189"/>
      <c r="AN195" s="145" t="s">
        <v>357</v>
      </c>
      <c r="AO195" s="146">
        <v>10484.12</v>
      </c>
      <c r="AP195" s="145"/>
      <c r="AR195" s="150" t="s">
        <v>357</v>
      </c>
      <c r="AS195" s="151">
        <f t="shared" si="27"/>
        <v>10756.48</v>
      </c>
      <c r="AT195" s="222"/>
      <c r="AW195" s="150" t="s">
        <v>349</v>
      </c>
      <c r="AX195" s="151">
        <v>21284.5</v>
      </c>
      <c r="AY195" s="239"/>
      <c r="AZ195" s="78"/>
      <c r="BA195" s="78"/>
      <c r="BB195" s="145" t="s">
        <v>357</v>
      </c>
      <c r="BC195" s="146">
        <v>10756.48</v>
      </c>
      <c r="BD195" s="186"/>
      <c r="BE195" s="146">
        <v>10756.48</v>
      </c>
      <c r="BF195" s="189">
        <f t="shared" si="21"/>
        <v>0</v>
      </c>
      <c r="BG195" s="218"/>
      <c r="BH195" s="189"/>
      <c r="BI195" s="145" t="s">
        <v>357</v>
      </c>
      <c r="BJ195" s="146">
        <v>10484.12</v>
      </c>
      <c r="BK195" s="150" t="s">
        <v>357</v>
      </c>
      <c r="BL195" s="151">
        <f t="shared" si="28"/>
        <v>0</v>
      </c>
      <c r="BR195" s="145" t="s">
        <v>357</v>
      </c>
      <c r="BS195" s="146">
        <v>10484.12</v>
      </c>
      <c r="CA195" s="145" t="s">
        <v>357</v>
      </c>
      <c r="CB195" s="146">
        <v>0</v>
      </c>
    </row>
    <row r="196" spans="6:80" ht="18.75">
      <c r="F196" s="78"/>
      <c r="G196" s="78"/>
      <c r="H196" s="78"/>
      <c r="I196" s="78"/>
      <c r="J196" s="78"/>
      <c r="K196" s="78"/>
      <c r="T196" s="107"/>
      <c r="X196" s="29"/>
      <c r="AG196" s="235"/>
      <c r="AH196" s="236"/>
      <c r="AI196" s="145"/>
      <c r="AJ196" s="145" t="s">
        <v>358</v>
      </c>
      <c r="AK196" s="146">
        <v>0</v>
      </c>
      <c r="AL196" s="189"/>
      <c r="AM196" s="189"/>
      <c r="AN196" s="145" t="s">
        <v>358</v>
      </c>
      <c r="AO196" s="146">
        <v>192094.37</v>
      </c>
      <c r="AP196" s="145"/>
      <c r="AR196" s="150" t="s">
        <v>358</v>
      </c>
      <c r="AS196" s="151">
        <f t="shared" si="27"/>
        <v>186474.76</v>
      </c>
      <c r="AT196" s="222"/>
      <c r="AW196" s="150" t="s">
        <v>350</v>
      </c>
      <c r="AX196" s="151">
        <v>4000</v>
      </c>
      <c r="AY196" s="239"/>
      <c r="AZ196" s="78"/>
      <c r="BA196" s="78"/>
      <c r="BB196" s="145" t="s">
        <v>358</v>
      </c>
      <c r="BC196" s="146">
        <v>186474.76</v>
      </c>
      <c r="BD196" s="186"/>
      <c r="BE196" s="146">
        <v>186474.76</v>
      </c>
      <c r="BF196" s="189">
        <f t="shared" si="21"/>
        <v>0</v>
      </c>
      <c r="BG196" s="218"/>
      <c r="BH196" s="189"/>
      <c r="BI196" s="145" t="s">
        <v>358</v>
      </c>
      <c r="BJ196" s="146">
        <v>192094.37</v>
      </c>
      <c r="BK196" s="150" t="s">
        <v>358</v>
      </c>
      <c r="BL196" s="151">
        <f t="shared" si="28"/>
        <v>0</v>
      </c>
      <c r="BR196" s="145" t="s">
        <v>358</v>
      </c>
      <c r="BS196" s="146">
        <v>192094.37</v>
      </c>
      <c r="CA196" s="145" t="s">
        <v>358</v>
      </c>
      <c r="CB196" s="146">
        <v>0</v>
      </c>
    </row>
    <row r="197" spans="20:80" ht="18.75">
      <c r="T197" s="107"/>
      <c r="X197" s="29"/>
      <c r="AG197" s="235"/>
      <c r="AH197" s="236"/>
      <c r="AI197" s="145"/>
      <c r="AJ197" s="145" t="s">
        <v>33</v>
      </c>
      <c r="AK197" s="146">
        <v>0</v>
      </c>
      <c r="AL197" s="189"/>
      <c r="AM197" s="189"/>
      <c r="AN197" s="145" t="s">
        <v>33</v>
      </c>
      <c r="AO197" s="146">
        <v>21503.04</v>
      </c>
      <c r="AP197" s="145"/>
      <c r="AR197" s="150" t="s">
        <v>33</v>
      </c>
      <c r="AS197" s="151">
        <f t="shared" si="27"/>
        <v>22061.65</v>
      </c>
      <c r="AT197" s="222"/>
      <c r="AW197" s="150" t="s">
        <v>395</v>
      </c>
      <c r="AX197" s="151">
        <v>0</v>
      </c>
      <c r="AY197" s="239"/>
      <c r="AZ197" s="78"/>
      <c r="BA197" s="78"/>
      <c r="BB197" s="145" t="s">
        <v>33</v>
      </c>
      <c r="BC197" s="146">
        <v>22061.65</v>
      </c>
      <c r="BD197" s="186"/>
      <c r="BE197" s="146">
        <v>22061.65</v>
      </c>
      <c r="BF197" s="189">
        <f t="shared" si="21"/>
        <v>0</v>
      </c>
      <c r="BG197" s="218"/>
      <c r="BH197" s="189"/>
      <c r="BI197" s="145" t="s">
        <v>33</v>
      </c>
      <c r="BJ197" s="146">
        <v>21503.04</v>
      </c>
      <c r="BK197" s="150" t="s">
        <v>33</v>
      </c>
      <c r="BL197" s="151">
        <f t="shared" si="28"/>
        <v>0</v>
      </c>
      <c r="BR197" s="145" t="s">
        <v>33</v>
      </c>
      <c r="BS197" s="146">
        <v>21503.04</v>
      </c>
      <c r="CA197" s="145" t="s">
        <v>33</v>
      </c>
      <c r="CB197" s="146">
        <v>0</v>
      </c>
    </row>
    <row r="198" spans="20:80" ht="18.75">
      <c r="T198" s="108"/>
      <c r="X198" s="29"/>
      <c r="AG198" s="235"/>
      <c r="AH198" s="236"/>
      <c r="AI198" s="145"/>
      <c r="AJ198" s="145" t="s">
        <v>359</v>
      </c>
      <c r="AK198" s="146">
        <v>458.58</v>
      </c>
      <c r="AL198" s="189"/>
      <c r="AM198" s="189"/>
      <c r="AN198" s="145" t="s">
        <v>359</v>
      </c>
      <c r="AO198" s="146">
        <v>35483.64</v>
      </c>
      <c r="AP198" s="145"/>
      <c r="AR198" s="150" t="s">
        <v>359</v>
      </c>
      <c r="AS198" s="151">
        <f t="shared" si="27"/>
        <v>36435.38</v>
      </c>
      <c r="AT198" s="222"/>
      <c r="AW198" s="150" t="s">
        <v>351</v>
      </c>
      <c r="AX198" s="151">
        <v>408.42</v>
      </c>
      <c r="AY198" s="239"/>
      <c r="AZ198" s="78"/>
      <c r="BA198" s="78"/>
      <c r="BB198" s="145" t="s">
        <v>359</v>
      </c>
      <c r="BC198" s="146">
        <v>36435.38</v>
      </c>
      <c r="BD198" s="186"/>
      <c r="BE198" s="146">
        <v>36435.38</v>
      </c>
      <c r="BF198" s="189">
        <f t="shared" si="21"/>
        <v>0</v>
      </c>
      <c r="BG198" s="218"/>
      <c r="BH198" s="189"/>
      <c r="BI198" s="145" t="s">
        <v>359</v>
      </c>
      <c r="BJ198" s="146">
        <v>35483.64</v>
      </c>
      <c r="BK198" s="150" t="s">
        <v>359</v>
      </c>
      <c r="BL198" s="151">
        <f t="shared" si="28"/>
        <v>0</v>
      </c>
      <c r="BR198" s="145" t="s">
        <v>359</v>
      </c>
      <c r="BS198" s="146">
        <v>35483.64</v>
      </c>
      <c r="CA198" s="145" t="s">
        <v>359</v>
      </c>
      <c r="CB198" s="146">
        <v>458.58</v>
      </c>
    </row>
    <row r="199" spans="20:80" ht="18.75">
      <c r="T199" s="108"/>
      <c r="X199" s="29"/>
      <c r="AG199" s="235"/>
      <c r="AH199" s="236"/>
      <c r="AI199" s="145"/>
      <c r="AJ199" s="145" t="s">
        <v>360</v>
      </c>
      <c r="AK199" s="146">
        <v>0</v>
      </c>
      <c r="AL199" s="189"/>
      <c r="AM199" s="189"/>
      <c r="AN199" s="145" t="s">
        <v>360</v>
      </c>
      <c r="AO199" s="146">
        <v>0</v>
      </c>
      <c r="AP199" s="145"/>
      <c r="AR199" s="150" t="s">
        <v>360</v>
      </c>
      <c r="AS199" s="151">
        <f t="shared" si="27"/>
        <v>0</v>
      </c>
      <c r="AT199" s="222"/>
      <c r="AW199" s="150" t="s">
        <v>352</v>
      </c>
      <c r="AX199" s="151">
        <v>6738.27</v>
      </c>
      <c r="AY199" s="239"/>
      <c r="AZ199" s="78"/>
      <c r="BA199" s="78"/>
      <c r="BB199" s="145" t="s">
        <v>360</v>
      </c>
      <c r="BC199" s="146">
        <v>0</v>
      </c>
      <c r="BD199" s="186"/>
      <c r="BE199" s="146">
        <v>0</v>
      </c>
      <c r="BF199" s="189">
        <f t="shared" si="21"/>
        <v>0</v>
      </c>
      <c r="BG199" s="218"/>
      <c r="BH199" s="189"/>
      <c r="BI199" s="145" t="s">
        <v>360</v>
      </c>
      <c r="BJ199" s="146">
        <v>0</v>
      </c>
      <c r="BK199" s="150" t="s">
        <v>360</v>
      </c>
      <c r="BL199" s="151">
        <f t="shared" si="28"/>
        <v>0</v>
      </c>
      <c r="BR199" s="145" t="s">
        <v>360</v>
      </c>
      <c r="BS199" s="146">
        <v>0</v>
      </c>
      <c r="CA199" s="145" t="s">
        <v>360</v>
      </c>
      <c r="CB199" s="146">
        <v>0</v>
      </c>
    </row>
    <row r="200" spans="24:80" ht="18.75">
      <c r="X200" s="29"/>
      <c r="AG200" s="235"/>
      <c r="AH200" s="236"/>
      <c r="AI200" s="145"/>
      <c r="AJ200" s="145" t="s">
        <v>361</v>
      </c>
      <c r="AK200" s="146">
        <v>0</v>
      </c>
      <c r="AL200" s="189"/>
      <c r="AM200" s="189"/>
      <c r="AN200" s="145" t="s">
        <v>361</v>
      </c>
      <c r="AO200" s="146">
        <v>98054.73</v>
      </c>
      <c r="AP200" s="145"/>
      <c r="AR200" s="150" t="s">
        <v>361</v>
      </c>
      <c r="AS200" s="151">
        <f t="shared" si="27"/>
        <v>71041.78</v>
      </c>
      <c r="AT200" s="222"/>
      <c r="AW200" s="150" t="s">
        <v>353</v>
      </c>
      <c r="AX200" s="151">
        <v>31730.4</v>
      </c>
      <c r="AY200" s="239"/>
      <c r="AZ200" s="78"/>
      <c r="BA200" s="78"/>
      <c r="BB200" s="145" t="s">
        <v>361</v>
      </c>
      <c r="BC200" s="146">
        <v>71041.78</v>
      </c>
      <c r="BD200" s="186"/>
      <c r="BE200" s="146">
        <v>71041.78</v>
      </c>
      <c r="BF200" s="189">
        <f t="shared" si="21"/>
        <v>0</v>
      </c>
      <c r="BG200" s="218"/>
      <c r="BH200" s="189"/>
      <c r="BI200" s="145" t="s">
        <v>361</v>
      </c>
      <c r="BJ200" s="146">
        <v>98054.73</v>
      </c>
      <c r="BK200" s="150" t="s">
        <v>361</v>
      </c>
      <c r="BL200" s="151">
        <f t="shared" si="28"/>
        <v>0</v>
      </c>
      <c r="BR200" s="145" t="s">
        <v>361</v>
      </c>
      <c r="BS200" s="146">
        <v>98054.73</v>
      </c>
      <c r="CA200" s="145" t="s">
        <v>361</v>
      </c>
      <c r="CB200" s="146">
        <v>0</v>
      </c>
    </row>
    <row r="201" spans="33:80" ht="18">
      <c r="AG201" s="235"/>
      <c r="AH201" s="236"/>
      <c r="AI201" s="145"/>
      <c r="AJ201" s="145" t="s">
        <v>362</v>
      </c>
      <c r="AK201" s="146">
        <v>0</v>
      </c>
      <c r="AL201" s="189"/>
      <c r="AM201" s="189"/>
      <c r="AN201" s="145" t="s">
        <v>362</v>
      </c>
      <c r="AO201" s="146">
        <v>0</v>
      </c>
      <c r="AP201" s="145"/>
      <c r="AR201" s="150" t="s">
        <v>362</v>
      </c>
      <c r="AS201" s="151">
        <f t="shared" si="27"/>
        <v>0</v>
      </c>
      <c r="AT201" s="222"/>
      <c r="AW201" s="150" t="s">
        <v>38</v>
      </c>
      <c r="AX201" s="151">
        <v>1542.39</v>
      </c>
      <c r="AY201" s="239"/>
      <c r="AZ201" s="78"/>
      <c r="BA201" s="78"/>
      <c r="BB201" s="145" t="s">
        <v>362</v>
      </c>
      <c r="BC201" s="146">
        <v>0</v>
      </c>
      <c r="BD201" s="186"/>
      <c r="BE201" s="146">
        <v>0</v>
      </c>
      <c r="BF201" s="189">
        <f aca="true" t="shared" si="29" ref="BF201:BF235">BE201-BC201</f>
        <v>0</v>
      </c>
      <c r="BG201" s="218"/>
      <c r="BH201" s="189"/>
      <c r="BI201" s="145" t="s">
        <v>362</v>
      </c>
      <c r="BJ201" s="146">
        <v>0</v>
      </c>
      <c r="BK201" s="150" t="s">
        <v>362</v>
      </c>
      <c r="BL201" s="151">
        <f t="shared" si="28"/>
        <v>0</v>
      </c>
      <c r="BR201" s="145" t="s">
        <v>362</v>
      </c>
      <c r="BS201" s="146">
        <v>0</v>
      </c>
      <c r="CA201" s="145" t="s">
        <v>362</v>
      </c>
      <c r="CB201" s="146">
        <v>0</v>
      </c>
    </row>
    <row r="202" spans="33:80" ht="18">
      <c r="AG202" s="235"/>
      <c r="AH202" s="236"/>
      <c r="AI202" s="145"/>
      <c r="AJ202" s="145" t="s">
        <v>363</v>
      </c>
      <c r="AK202" s="146">
        <v>0</v>
      </c>
      <c r="AL202" s="189"/>
      <c r="AM202" s="189"/>
      <c r="AN202" s="145" t="s">
        <v>363</v>
      </c>
      <c r="AO202" s="146">
        <v>0</v>
      </c>
      <c r="AP202" s="145"/>
      <c r="AR202" s="150" t="s">
        <v>363</v>
      </c>
      <c r="AS202" s="151">
        <f t="shared" si="27"/>
        <v>4033.6</v>
      </c>
      <c r="AT202" s="222"/>
      <c r="AW202" s="150" t="s">
        <v>354</v>
      </c>
      <c r="AX202" s="151">
        <v>10346.66</v>
      </c>
      <c r="AY202" s="239"/>
      <c r="AZ202" s="78"/>
      <c r="BA202" s="78"/>
      <c r="BB202" s="145" t="s">
        <v>363</v>
      </c>
      <c r="BC202" s="146">
        <v>4033.6</v>
      </c>
      <c r="BD202" s="186"/>
      <c r="BE202" s="146">
        <v>4033.6</v>
      </c>
      <c r="BF202" s="189">
        <f t="shared" si="29"/>
        <v>0</v>
      </c>
      <c r="BG202" s="218"/>
      <c r="BH202" s="189"/>
      <c r="BI202" s="145" t="s">
        <v>363</v>
      </c>
      <c r="BJ202" s="146">
        <v>0</v>
      </c>
      <c r="BK202" s="150" t="s">
        <v>363</v>
      </c>
      <c r="BL202" s="151">
        <f t="shared" si="28"/>
        <v>0</v>
      </c>
      <c r="BR202" s="145" t="s">
        <v>363</v>
      </c>
      <c r="BS202" s="146">
        <v>0</v>
      </c>
      <c r="CA202" s="145" t="s">
        <v>363</v>
      </c>
      <c r="CB202" s="146">
        <v>0</v>
      </c>
    </row>
    <row r="203" spans="33:80" ht="18">
      <c r="AG203" s="235"/>
      <c r="AH203" s="236"/>
      <c r="AI203" s="145"/>
      <c r="AJ203" s="145" t="s">
        <v>32</v>
      </c>
      <c r="AK203" s="146">
        <v>0</v>
      </c>
      <c r="AL203" s="189"/>
      <c r="AM203" s="189"/>
      <c r="AN203" s="145" t="s">
        <v>32</v>
      </c>
      <c r="AO203" s="146">
        <v>14641.8</v>
      </c>
      <c r="AP203" s="145"/>
      <c r="AR203" s="150" t="s">
        <v>32</v>
      </c>
      <c r="AS203" s="151">
        <f t="shared" si="27"/>
        <v>15022.16</v>
      </c>
      <c r="AT203" s="222"/>
      <c r="AW203" s="150" t="s">
        <v>355</v>
      </c>
      <c r="AX203" s="151">
        <v>6954.01</v>
      </c>
      <c r="AY203" s="239"/>
      <c r="AZ203" s="78"/>
      <c r="BA203" s="78"/>
      <c r="BB203" s="145" t="s">
        <v>32</v>
      </c>
      <c r="BC203" s="146">
        <v>15022.16</v>
      </c>
      <c r="BD203" s="186"/>
      <c r="BE203" s="146">
        <v>15022.16</v>
      </c>
      <c r="BF203" s="189">
        <f t="shared" si="29"/>
        <v>0</v>
      </c>
      <c r="BG203" s="218"/>
      <c r="BH203" s="189"/>
      <c r="BI203" s="145" t="s">
        <v>32</v>
      </c>
      <c r="BJ203" s="146">
        <v>14641.8</v>
      </c>
      <c r="BK203" s="150" t="s">
        <v>32</v>
      </c>
      <c r="BL203" s="151">
        <f t="shared" si="28"/>
        <v>0</v>
      </c>
      <c r="BR203" s="145" t="s">
        <v>32</v>
      </c>
      <c r="BS203" s="146">
        <v>14641.8</v>
      </c>
      <c r="CA203" s="145" t="s">
        <v>32</v>
      </c>
      <c r="CB203" s="146">
        <v>0</v>
      </c>
    </row>
    <row r="204" spans="33:80" ht="18">
      <c r="AG204" s="235"/>
      <c r="AH204" s="236"/>
      <c r="AI204" s="145"/>
      <c r="AJ204" s="145" t="s">
        <v>364</v>
      </c>
      <c r="AK204" s="146">
        <v>0</v>
      </c>
      <c r="AL204" s="189"/>
      <c r="AM204" s="189"/>
      <c r="AN204" s="145" t="s">
        <v>364</v>
      </c>
      <c r="AO204" s="146">
        <v>233906</v>
      </c>
      <c r="AP204" s="145"/>
      <c r="AR204" s="150" t="s">
        <v>364</v>
      </c>
      <c r="AS204" s="151">
        <f t="shared" si="27"/>
        <v>233190</v>
      </c>
      <c r="AT204" s="222"/>
      <c r="AW204" s="150" t="s">
        <v>356</v>
      </c>
      <c r="AX204" s="151">
        <v>7234.89</v>
      </c>
      <c r="AY204" s="239"/>
      <c r="AZ204" s="78"/>
      <c r="BA204" s="78"/>
      <c r="BB204" s="145" t="s">
        <v>364</v>
      </c>
      <c r="BC204" s="146">
        <v>233190</v>
      </c>
      <c r="BD204" s="186"/>
      <c r="BE204" s="146">
        <v>233190</v>
      </c>
      <c r="BF204" s="189">
        <f t="shared" si="29"/>
        <v>0</v>
      </c>
      <c r="BG204" s="218"/>
      <c r="BH204" s="189"/>
      <c r="BI204" s="145" t="s">
        <v>364</v>
      </c>
      <c r="BJ204" s="146">
        <v>233906</v>
      </c>
      <c r="BK204" s="150" t="s">
        <v>364</v>
      </c>
      <c r="BL204" s="151">
        <f t="shared" si="28"/>
        <v>0</v>
      </c>
      <c r="BR204" s="145" t="s">
        <v>364</v>
      </c>
      <c r="BS204" s="146">
        <v>233906</v>
      </c>
      <c r="CA204" s="145" t="s">
        <v>364</v>
      </c>
      <c r="CB204" s="146">
        <v>0</v>
      </c>
    </row>
    <row r="205" spans="33:80" ht="18">
      <c r="AG205" s="235"/>
      <c r="AH205" s="236"/>
      <c r="AI205" s="145"/>
      <c r="AJ205" s="145" t="s">
        <v>365</v>
      </c>
      <c r="AK205" s="146">
        <v>13490.49</v>
      </c>
      <c r="AL205" s="189"/>
      <c r="AM205" s="189"/>
      <c r="AN205" s="145" t="s">
        <v>365</v>
      </c>
      <c r="AO205" s="146">
        <v>22164.34</v>
      </c>
      <c r="AP205" s="145"/>
      <c r="AR205" s="150" t="s">
        <v>365</v>
      </c>
      <c r="AS205" s="151">
        <f t="shared" si="27"/>
        <v>35438.53</v>
      </c>
      <c r="AT205" s="222"/>
      <c r="AW205" s="150" t="s">
        <v>357</v>
      </c>
      <c r="AX205" s="151">
        <v>10756.48</v>
      </c>
      <c r="AY205" s="239"/>
      <c r="AZ205" s="78"/>
      <c r="BA205" s="78"/>
      <c r="BB205" s="145" t="s">
        <v>365</v>
      </c>
      <c r="BC205" s="146">
        <v>35438.53</v>
      </c>
      <c r="BD205" s="186"/>
      <c r="BE205" s="146">
        <v>35438.53</v>
      </c>
      <c r="BF205" s="189">
        <f t="shared" si="29"/>
        <v>0</v>
      </c>
      <c r="BG205" s="218"/>
      <c r="BH205" s="189"/>
      <c r="BI205" s="145" t="s">
        <v>365</v>
      </c>
      <c r="BJ205" s="146">
        <v>30290.34</v>
      </c>
      <c r="BK205" s="150" t="s">
        <v>365</v>
      </c>
      <c r="BL205" s="151">
        <f t="shared" si="28"/>
        <v>0</v>
      </c>
      <c r="BR205" s="145" t="s">
        <v>365</v>
      </c>
      <c r="BS205" s="146">
        <v>22164.34</v>
      </c>
      <c r="CA205" s="145" t="s">
        <v>365</v>
      </c>
      <c r="CB205" s="146">
        <v>13490.49</v>
      </c>
    </row>
    <row r="206" spans="33:80" ht="18">
      <c r="AG206" s="235"/>
      <c r="AH206" s="236"/>
      <c r="AI206" s="145"/>
      <c r="AJ206" s="145" t="s">
        <v>366</v>
      </c>
      <c r="AK206" s="146">
        <v>10</v>
      </c>
      <c r="AL206" s="189"/>
      <c r="AM206" s="189"/>
      <c r="AN206" s="145" t="s">
        <v>366</v>
      </c>
      <c r="AO206" s="146">
        <v>60</v>
      </c>
      <c r="AP206" s="145"/>
      <c r="AR206" s="150" t="s">
        <v>366</v>
      </c>
      <c r="AS206" s="151">
        <f t="shared" si="27"/>
        <v>-105.04</v>
      </c>
      <c r="AT206" s="222"/>
      <c r="AW206" s="150" t="s">
        <v>358</v>
      </c>
      <c r="AX206" s="151">
        <v>186474.76</v>
      </c>
      <c r="AY206" s="239"/>
      <c r="AZ206" s="78"/>
      <c r="BA206" s="78"/>
      <c r="BB206" s="145" t="s">
        <v>366</v>
      </c>
      <c r="BC206" s="146">
        <v>-105.04</v>
      </c>
      <c r="BD206" s="186"/>
      <c r="BE206" s="146">
        <v>-105.04</v>
      </c>
      <c r="BF206" s="189">
        <f t="shared" si="29"/>
        <v>0</v>
      </c>
      <c r="BG206" s="218"/>
      <c r="BH206" s="189"/>
      <c r="BI206" s="145" t="s">
        <v>366</v>
      </c>
      <c r="BJ206" s="146">
        <v>60</v>
      </c>
      <c r="BK206" s="150" t="s">
        <v>366</v>
      </c>
      <c r="BL206" s="151">
        <f t="shared" si="28"/>
        <v>0</v>
      </c>
      <c r="BR206" s="145" t="s">
        <v>366</v>
      </c>
      <c r="BS206" s="146">
        <v>60</v>
      </c>
      <c r="CA206" s="145" t="s">
        <v>366</v>
      </c>
      <c r="CB206" s="146">
        <v>10</v>
      </c>
    </row>
    <row r="207" spans="33:80" ht="18">
      <c r="AG207" s="235"/>
      <c r="AH207" s="236"/>
      <c r="AI207" s="145"/>
      <c r="AJ207" s="145" t="s">
        <v>367</v>
      </c>
      <c r="AK207" s="146">
        <v>0</v>
      </c>
      <c r="AL207" s="189"/>
      <c r="AM207" s="189"/>
      <c r="AN207" s="145" t="s">
        <v>367</v>
      </c>
      <c r="AO207" s="146">
        <v>0</v>
      </c>
      <c r="AP207" s="145"/>
      <c r="AR207" s="150" t="s">
        <v>367</v>
      </c>
      <c r="AS207" s="151">
        <f t="shared" si="27"/>
        <v>44122.74</v>
      </c>
      <c r="AT207" s="222"/>
      <c r="AW207" s="150" t="s">
        <v>33</v>
      </c>
      <c r="AX207" s="151">
        <v>22061.65</v>
      </c>
      <c r="AY207" s="239"/>
      <c r="AZ207" s="78"/>
      <c r="BA207" s="78"/>
      <c r="BB207" s="145" t="s">
        <v>367</v>
      </c>
      <c r="BC207" s="146">
        <v>44122.74</v>
      </c>
      <c r="BD207" s="186"/>
      <c r="BE207" s="146">
        <v>44122.74</v>
      </c>
      <c r="BF207" s="189">
        <f t="shared" si="29"/>
        <v>0</v>
      </c>
      <c r="BG207" s="218"/>
      <c r="BH207" s="189"/>
      <c r="BI207" s="145" t="s">
        <v>367</v>
      </c>
      <c r="BJ207" s="146">
        <v>0</v>
      </c>
      <c r="BK207" s="150" t="s">
        <v>367</v>
      </c>
      <c r="BL207" s="151">
        <f t="shared" si="28"/>
        <v>0</v>
      </c>
      <c r="BR207" s="145" t="s">
        <v>367</v>
      </c>
      <c r="BS207" s="146">
        <v>0</v>
      </c>
      <c r="CA207" s="145" t="s">
        <v>367</v>
      </c>
      <c r="CB207" s="146">
        <v>0</v>
      </c>
    </row>
    <row r="208" spans="33:80" ht="18">
      <c r="AG208" s="235"/>
      <c r="AH208" s="236"/>
      <c r="AI208" s="145"/>
      <c r="AJ208" s="145" t="s">
        <v>368</v>
      </c>
      <c r="AK208" s="146">
        <v>20525.18</v>
      </c>
      <c r="AL208" s="189"/>
      <c r="AM208" s="189"/>
      <c r="AN208" s="145" t="s">
        <v>368</v>
      </c>
      <c r="AO208" s="146">
        <v>33127.74</v>
      </c>
      <c r="AP208" s="145"/>
      <c r="AR208" s="150" t="s">
        <v>368</v>
      </c>
      <c r="AS208" s="151">
        <f t="shared" si="27"/>
        <v>48835</v>
      </c>
      <c r="AT208" s="222"/>
      <c r="AW208" s="150" t="s">
        <v>359</v>
      </c>
      <c r="AX208" s="151">
        <v>36435.38</v>
      </c>
      <c r="AY208" s="239"/>
      <c r="AZ208" s="78"/>
      <c r="BA208" s="78"/>
      <c r="BB208" s="145" t="s">
        <v>368</v>
      </c>
      <c r="BC208" s="146">
        <v>48835</v>
      </c>
      <c r="BD208" s="186"/>
      <c r="BE208" s="146">
        <v>48835</v>
      </c>
      <c r="BF208" s="189">
        <f t="shared" si="29"/>
        <v>0</v>
      </c>
      <c r="BG208" s="218"/>
      <c r="BH208" s="189"/>
      <c r="BI208" s="145" t="s">
        <v>368</v>
      </c>
      <c r="BJ208" s="146">
        <v>33127.74</v>
      </c>
      <c r="BK208" s="150" t="s">
        <v>368</v>
      </c>
      <c r="BL208" s="151">
        <f t="shared" si="28"/>
        <v>0</v>
      </c>
      <c r="BR208" s="145" t="s">
        <v>368</v>
      </c>
      <c r="BS208" s="146">
        <v>33127.74</v>
      </c>
      <c r="CA208" s="145" t="s">
        <v>368</v>
      </c>
      <c r="CB208" s="146">
        <v>20525.18</v>
      </c>
    </row>
    <row r="209" spans="33:80" ht="18">
      <c r="AG209" s="235"/>
      <c r="AH209" s="236"/>
      <c r="AI209" s="145"/>
      <c r="AJ209" s="145" t="s">
        <v>369</v>
      </c>
      <c r="AK209" s="146">
        <v>0</v>
      </c>
      <c r="AL209" s="189"/>
      <c r="AM209" s="189"/>
      <c r="AN209" s="145" t="s">
        <v>369</v>
      </c>
      <c r="AO209" s="146">
        <v>0</v>
      </c>
      <c r="AP209" s="145"/>
      <c r="AR209" s="150" t="s">
        <v>369</v>
      </c>
      <c r="AS209" s="151">
        <f t="shared" si="27"/>
        <v>0</v>
      </c>
      <c r="AT209" s="222"/>
      <c r="AW209" s="150" t="s">
        <v>360</v>
      </c>
      <c r="AX209" s="151">
        <v>0</v>
      </c>
      <c r="AY209" s="239"/>
      <c r="AZ209" s="78"/>
      <c r="BA209" s="78"/>
      <c r="BB209" s="145" t="s">
        <v>369</v>
      </c>
      <c r="BC209" s="146">
        <v>0</v>
      </c>
      <c r="BD209" s="186"/>
      <c r="BE209" s="146">
        <v>0</v>
      </c>
      <c r="BF209" s="189">
        <f t="shared" si="29"/>
        <v>0</v>
      </c>
      <c r="BG209" s="218"/>
      <c r="BH209" s="189"/>
      <c r="BI209" s="145" t="s">
        <v>369</v>
      </c>
      <c r="BJ209" s="146">
        <v>0</v>
      </c>
      <c r="BK209" s="150" t="s">
        <v>369</v>
      </c>
      <c r="BL209" s="151">
        <f t="shared" si="28"/>
        <v>0</v>
      </c>
      <c r="BR209" s="145" t="s">
        <v>369</v>
      </c>
      <c r="BS209" s="146">
        <v>0</v>
      </c>
      <c r="CA209" s="145" t="s">
        <v>369</v>
      </c>
      <c r="CB209" s="146">
        <v>0</v>
      </c>
    </row>
    <row r="210" spans="33:80" ht="18">
      <c r="AG210" s="235"/>
      <c r="AH210" s="236"/>
      <c r="AI210" s="145"/>
      <c r="AJ210" s="145" t="s">
        <v>370</v>
      </c>
      <c r="AK210" s="157">
        <v>0</v>
      </c>
      <c r="AL210" s="189"/>
      <c r="AM210" s="189"/>
      <c r="AN210" s="145" t="s">
        <v>370</v>
      </c>
      <c r="AO210" s="157">
        <v>155655.98</v>
      </c>
      <c r="AP210" s="145"/>
      <c r="AR210" s="150" t="s">
        <v>370</v>
      </c>
      <c r="AS210" s="151">
        <f t="shared" si="27"/>
        <v>119916.94</v>
      </c>
      <c r="AT210" s="222"/>
      <c r="AW210" s="150" t="s">
        <v>361</v>
      </c>
      <c r="AX210" s="151">
        <v>71041.78</v>
      </c>
      <c r="AY210" s="239"/>
      <c r="AZ210" s="78"/>
      <c r="BA210" s="78"/>
      <c r="BB210" s="145" t="s">
        <v>370</v>
      </c>
      <c r="BC210" s="157">
        <v>119916.94</v>
      </c>
      <c r="BD210" s="186"/>
      <c r="BE210" s="157">
        <v>119916.94</v>
      </c>
      <c r="BF210" s="189">
        <f t="shared" si="29"/>
        <v>0</v>
      </c>
      <c r="BG210" s="218"/>
      <c r="BH210" s="189"/>
      <c r="BI210" s="145" t="s">
        <v>370</v>
      </c>
      <c r="BJ210" s="157">
        <v>155655.98</v>
      </c>
      <c r="BK210" s="150" t="s">
        <v>370</v>
      </c>
      <c r="BL210" s="151">
        <f t="shared" si="28"/>
        <v>0</v>
      </c>
      <c r="BR210" s="145" t="s">
        <v>370</v>
      </c>
      <c r="BS210" s="157">
        <v>155655.98</v>
      </c>
      <c r="CA210" s="145" t="s">
        <v>370</v>
      </c>
      <c r="CB210" s="157">
        <v>0</v>
      </c>
    </row>
    <row r="211" spans="33:80" ht="18">
      <c r="AG211" s="235"/>
      <c r="AH211" s="236"/>
      <c r="AI211" s="145"/>
      <c r="AJ211" s="145" t="s">
        <v>371</v>
      </c>
      <c r="AK211" s="146">
        <v>64926.25</v>
      </c>
      <c r="AL211" s="189">
        <f>SUM(AK185:AK210)</f>
        <v>64926.25</v>
      </c>
      <c r="AM211" s="189"/>
      <c r="AN211" s="145" t="s">
        <v>371</v>
      </c>
      <c r="AO211" s="146">
        <v>900708.33</v>
      </c>
      <c r="AP211" s="145"/>
      <c r="AR211" s="150" t="s">
        <v>371</v>
      </c>
      <c r="AS211" s="151">
        <f t="shared" si="27"/>
        <v>917463.52</v>
      </c>
      <c r="AT211" s="185">
        <f>SUM(AS185:AS210)</f>
        <v>917463.52</v>
      </c>
      <c r="AW211" s="150" t="s">
        <v>362</v>
      </c>
      <c r="AX211" s="151">
        <v>0</v>
      </c>
      <c r="AY211" s="239"/>
      <c r="AZ211" s="78"/>
      <c r="BA211" s="78"/>
      <c r="BB211" s="145" t="s">
        <v>371</v>
      </c>
      <c r="BC211" s="146">
        <v>917463.52</v>
      </c>
      <c r="BD211" s="186"/>
      <c r="BE211" s="146">
        <v>917463.52</v>
      </c>
      <c r="BF211" s="189">
        <f t="shared" si="29"/>
        <v>0</v>
      </c>
      <c r="BG211" s="218"/>
      <c r="BH211" s="189"/>
      <c r="BI211" s="145" t="s">
        <v>371</v>
      </c>
      <c r="BJ211" s="146">
        <v>909034.33</v>
      </c>
      <c r="BK211" s="150" t="s">
        <v>371</v>
      </c>
      <c r="BL211" s="153"/>
      <c r="BR211" s="145" t="s">
        <v>371</v>
      </c>
      <c r="BS211" s="146">
        <v>900908.33</v>
      </c>
      <c r="CA211" s="145" t="s">
        <v>371</v>
      </c>
      <c r="CB211" s="146">
        <v>64926.25</v>
      </c>
    </row>
    <row r="212" spans="33:80" ht="18">
      <c r="AG212" s="235"/>
      <c r="AH212" s="236"/>
      <c r="AI212" s="145"/>
      <c r="AJ212" s="145" t="s">
        <v>216</v>
      </c>
      <c r="AK212" s="146"/>
      <c r="AL212" s="189"/>
      <c r="AM212" s="189"/>
      <c r="AN212" s="145" t="s">
        <v>216</v>
      </c>
      <c r="AO212" s="146"/>
      <c r="AP212" s="145"/>
      <c r="AT212" s="222"/>
      <c r="AW212" s="150" t="s">
        <v>363</v>
      </c>
      <c r="AX212" s="151">
        <v>4033.6</v>
      </c>
      <c r="AY212" s="239"/>
      <c r="AZ212" s="78"/>
      <c r="BA212" s="78"/>
      <c r="BB212" s="145" t="s">
        <v>216</v>
      </c>
      <c r="BC212" s="146"/>
      <c r="BD212" s="186"/>
      <c r="BE212" s="146"/>
      <c r="BF212" s="189">
        <f t="shared" si="29"/>
        <v>0</v>
      </c>
      <c r="BG212" s="218"/>
      <c r="BH212" s="189"/>
      <c r="BI212" s="145" t="s">
        <v>216</v>
      </c>
      <c r="BJ212" s="146"/>
      <c r="BK212" s="114"/>
      <c r="BL212" s="151">
        <f>BV211</f>
        <v>0</v>
      </c>
      <c r="BR212" s="145" t="s">
        <v>216</v>
      </c>
      <c r="BS212" s="146"/>
      <c r="CA212" s="145" t="s">
        <v>216</v>
      </c>
      <c r="CB212" s="146"/>
    </row>
    <row r="213" spans="33:80" ht="18">
      <c r="AG213" s="235"/>
      <c r="AH213" s="236"/>
      <c r="AI213" s="145"/>
      <c r="AJ213" s="145" t="s">
        <v>372</v>
      </c>
      <c r="AK213" s="146"/>
      <c r="AL213" s="189"/>
      <c r="AM213" s="189"/>
      <c r="AN213" s="145" t="s">
        <v>372</v>
      </c>
      <c r="AO213" s="146"/>
      <c r="AP213" s="145"/>
      <c r="AR213" s="150" t="s">
        <v>372</v>
      </c>
      <c r="AS213" s="151"/>
      <c r="AT213" s="222"/>
      <c r="AW213" s="150" t="s">
        <v>32</v>
      </c>
      <c r="AX213" s="151">
        <v>15022.16</v>
      </c>
      <c r="AY213" s="239"/>
      <c r="AZ213" s="78"/>
      <c r="BA213" s="78"/>
      <c r="BB213" s="145" t="s">
        <v>372</v>
      </c>
      <c r="BC213" s="146"/>
      <c r="BD213" s="186"/>
      <c r="BE213" s="146"/>
      <c r="BF213" s="189">
        <f t="shared" si="29"/>
        <v>0</v>
      </c>
      <c r="BG213" s="218"/>
      <c r="BH213" s="189"/>
      <c r="BI213" s="145" t="s">
        <v>372</v>
      </c>
      <c r="BJ213" s="146"/>
      <c r="BK213" s="150" t="s">
        <v>372</v>
      </c>
      <c r="BL213" s="151"/>
      <c r="BR213" s="145" t="s">
        <v>372</v>
      </c>
      <c r="BS213" s="146"/>
      <c r="CA213" s="145" t="s">
        <v>372</v>
      </c>
      <c r="CB213" s="146"/>
    </row>
    <row r="214" spans="33:80" ht="18">
      <c r="AG214" s="235"/>
      <c r="AH214" s="236"/>
      <c r="AI214" s="145"/>
      <c r="AJ214" s="145" t="s">
        <v>37</v>
      </c>
      <c r="AK214" s="146">
        <v>-100000</v>
      </c>
      <c r="AL214" s="189"/>
      <c r="AM214" s="189"/>
      <c r="AN214" s="145" t="s">
        <v>37</v>
      </c>
      <c r="AO214" s="146">
        <v>27464.64</v>
      </c>
      <c r="AP214" s="145"/>
      <c r="AR214" s="150" t="s">
        <v>37</v>
      </c>
      <c r="AS214" s="151">
        <f>BC214</f>
        <v>28178.12</v>
      </c>
      <c r="AT214" s="222"/>
      <c r="AW214" s="150" t="s">
        <v>364</v>
      </c>
      <c r="AX214" s="151">
        <v>233190</v>
      </c>
      <c r="AY214" s="239"/>
      <c r="AZ214" s="78"/>
      <c r="BA214" s="78"/>
      <c r="BB214" s="145" t="s">
        <v>37</v>
      </c>
      <c r="BC214" s="146">
        <v>28178.12</v>
      </c>
      <c r="BD214" s="186"/>
      <c r="BE214" s="146">
        <v>28178.12</v>
      </c>
      <c r="BF214" s="189">
        <f t="shared" si="29"/>
        <v>0</v>
      </c>
      <c r="BG214" s="218"/>
      <c r="BH214" s="189"/>
      <c r="BI214" s="145" t="s">
        <v>37</v>
      </c>
      <c r="BJ214" s="146">
        <v>27464.64</v>
      </c>
      <c r="BK214" s="150" t="s">
        <v>37</v>
      </c>
      <c r="BL214" s="151"/>
      <c r="BR214" s="145" t="s">
        <v>37</v>
      </c>
      <c r="BS214" s="146">
        <v>27464.64</v>
      </c>
      <c r="CA214" s="145" t="s">
        <v>37</v>
      </c>
      <c r="CB214" s="146">
        <v>-100000</v>
      </c>
    </row>
    <row r="215" spans="33:80" ht="18">
      <c r="AG215" s="235"/>
      <c r="AH215" s="236"/>
      <c r="AI215" s="145"/>
      <c r="AJ215" s="145" t="s">
        <v>373</v>
      </c>
      <c r="AK215" s="146">
        <v>0</v>
      </c>
      <c r="AL215" s="189"/>
      <c r="AM215" s="189"/>
      <c r="AN215" s="145" t="s">
        <v>373</v>
      </c>
      <c r="AO215" s="146">
        <v>1846.42</v>
      </c>
      <c r="AP215" s="145"/>
      <c r="AR215" s="150" t="s">
        <v>373</v>
      </c>
      <c r="AS215" s="151">
        <f>BC215</f>
        <v>1894.38</v>
      </c>
      <c r="AT215" s="222"/>
      <c r="AW215" s="150" t="s">
        <v>365</v>
      </c>
      <c r="AX215" s="151">
        <v>35438.53</v>
      </c>
      <c r="AY215" s="239"/>
      <c r="AZ215" s="78"/>
      <c r="BA215" s="78"/>
      <c r="BB215" s="145" t="s">
        <v>373</v>
      </c>
      <c r="BC215" s="146">
        <v>1894.38</v>
      </c>
      <c r="BD215" s="186"/>
      <c r="BE215" s="146">
        <v>1894.38</v>
      </c>
      <c r="BF215" s="189">
        <f t="shared" si="29"/>
        <v>0</v>
      </c>
      <c r="BG215" s="218"/>
      <c r="BH215" s="189"/>
      <c r="BI215" s="145" t="s">
        <v>373</v>
      </c>
      <c r="BJ215" s="146">
        <v>1846.42</v>
      </c>
      <c r="BK215" s="150" t="s">
        <v>373</v>
      </c>
      <c r="BL215" s="151">
        <f>BV214</f>
        <v>0</v>
      </c>
      <c r="BR215" s="145" t="s">
        <v>373</v>
      </c>
      <c r="BS215" s="146">
        <v>1846.42</v>
      </c>
      <c r="CA215" s="145" t="s">
        <v>373</v>
      </c>
      <c r="CB215" s="146">
        <v>0</v>
      </c>
    </row>
    <row r="216" spans="33:80" ht="18">
      <c r="AG216" s="235"/>
      <c r="AH216" s="236"/>
      <c r="AI216" s="145"/>
      <c r="AJ216" s="145" t="s">
        <v>34</v>
      </c>
      <c r="AK216" s="157">
        <v>0</v>
      </c>
      <c r="AL216" s="189"/>
      <c r="AM216" s="189"/>
      <c r="AN216" s="145" t="s">
        <v>34</v>
      </c>
      <c r="AO216" s="157">
        <v>37527.4</v>
      </c>
      <c r="AP216" s="145"/>
      <c r="AR216" s="150" t="s">
        <v>34</v>
      </c>
      <c r="AS216" s="151">
        <f>BC216</f>
        <v>38498.85</v>
      </c>
      <c r="AT216" s="222"/>
      <c r="AW216" s="150" t="s">
        <v>366</v>
      </c>
      <c r="AX216" s="151">
        <v>-105.04</v>
      </c>
      <c r="AY216" s="239"/>
      <c r="AZ216" s="78"/>
      <c r="BA216" s="78"/>
      <c r="BB216" s="145" t="s">
        <v>34</v>
      </c>
      <c r="BC216" s="157">
        <v>38498.85</v>
      </c>
      <c r="BD216" s="186"/>
      <c r="BE216" s="157">
        <v>38498.85</v>
      </c>
      <c r="BF216" s="189">
        <f t="shared" si="29"/>
        <v>0</v>
      </c>
      <c r="BG216" s="218"/>
      <c r="BH216" s="189"/>
      <c r="BI216" s="145" t="s">
        <v>34</v>
      </c>
      <c r="BJ216" s="157">
        <v>37527.4</v>
      </c>
      <c r="BK216" s="150" t="s">
        <v>34</v>
      </c>
      <c r="BL216" s="151">
        <f>BV215</f>
        <v>0</v>
      </c>
      <c r="BR216" s="145" t="s">
        <v>34</v>
      </c>
      <c r="BS216" s="157">
        <v>37527.4</v>
      </c>
      <c r="CA216" s="145" t="s">
        <v>34</v>
      </c>
      <c r="CB216" s="157">
        <v>0</v>
      </c>
    </row>
    <row r="217" spans="33:80" ht="18">
      <c r="AG217" s="235"/>
      <c r="AH217" s="236"/>
      <c r="AI217" s="145"/>
      <c r="AJ217" s="145" t="s">
        <v>374</v>
      </c>
      <c r="AK217" s="146">
        <v>-100000</v>
      </c>
      <c r="AL217" s="189">
        <f>SUM(AK214:AK216)</f>
        <v>-100000</v>
      </c>
      <c r="AM217" s="189"/>
      <c r="AN217" s="145" t="s">
        <v>374</v>
      </c>
      <c r="AO217" s="146">
        <v>66838.46</v>
      </c>
      <c r="AP217" s="145"/>
      <c r="AR217" s="150" t="s">
        <v>216</v>
      </c>
      <c r="AS217" s="153"/>
      <c r="AT217" s="222"/>
      <c r="AW217" s="150" t="s">
        <v>367</v>
      </c>
      <c r="AX217" s="151">
        <v>44122.74</v>
      </c>
      <c r="AY217" s="239"/>
      <c r="AZ217" s="78"/>
      <c r="BA217" s="78"/>
      <c r="BB217" s="145" t="s">
        <v>374</v>
      </c>
      <c r="BC217" s="146">
        <v>68571.35</v>
      </c>
      <c r="BD217" s="186"/>
      <c r="BE217" s="146">
        <v>68571.35</v>
      </c>
      <c r="BF217" s="189">
        <f t="shared" si="29"/>
        <v>0</v>
      </c>
      <c r="BG217" s="218"/>
      <c r="BH217" s="189"/>
      <c r="BI217" s="145" t="s">
        <v>374</v>
      </c>
      <c r="BJ217" s="146">
        <v>66838.46</v>
      </c>
      <c r="BK217" s="150" t="s">
        <v>216</v>
      </c>
      <c r="BL217" s="151">
        <f>BV216</f>
        <v>0</v>
      </c>
      <c r="BR217" s="145" t="s">
        <v>374</v>
      </c>
      <c r="BS217" s="146">
        <v>66838.46</v>
      </c>
      <c r="CA217" s="145" t="s">
        <v>374</v>
      </c>
      <c r="CB217" s="146">
        <v>-100000</v>
      </c>
    </row>
    <row r="218" spans="33:80" ht="18">
      <c r="AG218" s="235"/>
      <c r="AH218" s="236"/>
      <c r="AI218" s="145"/>
      <c r="AJ218" s="145" t="s">
        <v>216</v>
      </c>
      <c r="AK218" s="146"/>
      <c r="AL218" s="189"/>
      <c r="AM218" s="189"/>
      <c r="AN218" s="145" t="s">
        <v>216</v>
      </c>
      <c r="AO218" s="146"/>
      <c r="AP218" s="145"/>
      <c r="AR218" s="150" t="s">
        <v>374</v>
      </c>
      <c r="AS218" s="151">
        <f>BC217</f>
        <v>68571.35</v>
      </c>
      <c r="AT218" s="185">
        <f>SUM(AS214:AS217)</f>
        <v>68571.35</v>
      </c>
      <c r="AW218" s="150" t="s">
        <v>368</v>
      </c>
      <c r="AX218" s="151">
        <v>48835</v>
      </c>
      <c r="AY218" s="239"/>
      <c r="AZ218" s="78"/>
      <c r="BA218" s="78"/>
      <c r="BB218" s="145" t="s">
        <v>216</v>
      </c>
      <c r="BC218" s="146"/>
      <c r="BD218" s="186"/>
      <c r="BE218" s="146"/>
      <c r="BF218" s="189">
        <f t="shared" si="29"/>
        <v>0</v>
      </c>
      <c r="BG218" s="218"/>
      <c r="BH218" s="189"/>
      <c r="BI218" s="145" t="s">
        <v>216</v>
      </c>
      <c r="BJ218" s="146"/>
      <c r="BK218" s="150" t="s">
        <v>374</v>
      </c>
      <c r="BL218" s="153"/>
      <c r="BR218" s="145" t="s">
        <v>216</v>
      </c>
      <c r="BS218" s="146"/>
      <c r="CA218" s="145" t="s">
        <v>216</v>
      </c>
      <c r="CB218" s="146"/>
    </row>
    <row r="219" spans="33:80" ht="18">
      <c r="AG219" s="235"/>
      <c r="AH219" s="236"/>
      <c r="AI219" s="145"/>
      <c r="AJ219" s="145" t="s">
        <v>216</v>
      </c>
      <c r="AK219" s="146"/>
      <c r="AL219" s="189"/>
      <c r="AM219" s="189"/>
      <c r="AN219" s="145" t="s">
        <v>216</v>
      </c>
      <c r="AO219" s="146"/>
      <c r="AP219" s="145"/>
      <c r="AR219" s="150" t="s">
        <v>216</v>
      </c>
      <c r="AS219" s="151"/>
      <c r="AT219" s="222"/>
      <c r="AW219" s="150" t="s">
        <v>369</v>
      </c>
      <c r="AX219" s="151">
        <v>0</v>
      </c>
      <c r="AY219" s="239"/>
      <c r="AZ219" s="78"/>
      <c r="BA219" s="78"/>
      <c r="BB219" s="145" t="s">
        <v>216</v>
      </c>
      <c r="BC219" s="146"/>
      <c r="BD219" s="186"/>
      <c r="BE219" s="146"/>
      <c r="BF219" s="189">
        <f t="shared" si="29"/>
        <v>0</v>
      </c>
      <c r="BG219" s="218"/>
      <c r="BH219" s="189"/>
      <c r="BI219" s="145" t="s">
        <v>216</v>
      </c>
      <c r="BJ219" s="146"/>
      <c r="BK219" s="150" t="s">
        <v>216</v>
      </c>
      <c r="BL219" s="151">
        <f>BV217</f>
        <v>0</v>
      </c>
      <c r="BR219" s="145" t="s">
        <v>216</v>
      </c>
      <c r="BS219" s="146"/>
      <c r="CA219" s="145" t="s">
        <v>216</v>
      </c>
      <c r="CB219" s="146"/>
    </row>
    <row r="220" spans="33:80" ht="18">
      <c r="AG220" s="235"/>
      <c r="AH220" s="236"/>
      <c r="AI220" s="145"/>
      <c r="AJ220" s="145" t="s">
        <v>216</v>
      </c>
      <c r="AK220" s="146"/>
      <c r="AL220" s="189"/>
      <c r="AM220" s="189"/>
      <c r="AN220" s="145" t="s">
        <v>216</v>
      </c>
      <c r="AO220" s="146"/>
      <c r="AP220" s="145"/>
      <c r="AR220" s="150" t="s">
        <v>216</v>
      </c>
      <c r="AS220" s="151"/>
      <c r="AT220" s="185"/>
      <c r="AW220" s="150" t="s">
        <v>370</v>
      </c>
      <c r="AX220" s="153">
        <v>119916.94</v>
      </c>
      <c r="AY220" s="239"/>
      <c r="AZ220" s="78"/>
      <c r="BA220" s="78"/>
      <c r="BB220" s="145" t="s">
        <v>216</v>
      </c>
      <c r="BC220" s="146"/>
      <c r="BD220" s="186"/>
      <c r="BE220" s="146"/>
      <c r="BF220" s="189">
        <f t="shared" si="29"/>
        <v>0</v>
      </c>
      <c r="BG220" s="218"/>
      <c r="BH220" s="189"/>
      <c r="BI220" s="145" t="s">
        <v>216</v>
      </c>
      <c r="BJ220" s="146"/>
      <c r="BK220" s="150" t="s">
        <v>216</v>
      </c>
      <c r="BL220" s="151"/>
      <c r="BR220" s="145" t="s">
        <v>216</v>
      </c>
      <c r="BS220" s="146"/>
      <c r="CA220" s="145" t="s">
        <v>216</v>
      </c>
      <c r="CB220" s="146"/>
    </row>
    <row r="221" spans="33:80" ht="18">
      <c r="AG221" s="235"/>
      <c r="AH221" s="236"/>
      <c r="AI221" s="145"/>
      <c r="AJ221" s="145" t="s">
        <v>375</v>
      </c>
      <c r="AK221" s="157">
        <v>-35073.75</v>
      </c>
      <c r="AL221" s="189">
        <f>AL211+AL217</f>
        <v>-35073.75</v>
      </c>
      <c r="AM221" s="189"/>
      <c r="AN221" s="145" t="s">
        <v>375</v>
      </c>
      <c r="AO221" s="157">
        <v>967546.79</v>
      </c>
      <c r="AR221" s="150" t="s">
        <v>375</v>
      </c>
      <c r="AS221" s="151">
        <f>BC221</f>
        <v>986034.87</v>
      </c>
      <c r="AT221" s="185">
        <f>AT218+AT211</f>
        <v>986034.87</v>
      </c>
      <c r="AY221" s="239"/>
      <c r="AZ221" s="78"/>
      <c r="BA221" s="78"/>
      <c r="BB221" s="145" t="s">
        <v>375</v>
      </c>
      <c r="BC221" s="157">
        <v>986034.87</v>
      </c>
      <c r="BD221" s="186"/>
      <c r="BE221" s="157">
        <v>986034.87</v>
      </c>
      <c r="BF221" s="189">
        <f t="shared" si="29"/>
        <v>0</v>
      </c>
      <c r="BG221" s="218"/>
      <c r="BH221" s="189"/>
      <c r="BI221" s="145" t="s">
        <v>375</v>
      </c>
      <c r="BJ221" s="157">
        <v>975872.79</v>
      </c>
      <c r="BK221" s="150" t="s">
        <v>375</v>
      </c>
      <c r="BL221" s="151"/>
      <c r="BR221" s="145" t="s">
        <v>375</v>
      </c>
      <c r="BS221" s="157">
        <v>967746.79</v>
      </c>
      <c r="CA221" s="145" t="s">
        <v>375</v>
      </c>
      <c r="CB221" s="157">
        <v>-35073.75</v>
      </c>
    </row>
    <row r="222" spans="33:80" ht="18">
      <c r="AG222" s="235"/>
      <c r="AH222" s="236"/>
      <c r="AI222" s="145"/>
      <c r="AJ222" s="145" t="s">
        <v>216</v>
      </c>
      <c r="AK222" s="146"/>
      <c r="AL222" s="189"/>
      <c r="AM222" s="189"/>
      <c r="AN222" s="145" t="s">
        <v>216</v>
      </c>
      <c r="AO222" s="146"/>
      <c r="AR222" s="150" t="s">
        <v>216</v>
      </c>
      <c r="AS222" s="153"/>
      <c r="AT222" s="222"/>
      <c r="AW222" s="150" t="s">
        <v>371</v>
      </c>
      <c r="AX222" s="151">
        <v>917463.52</v>
      </c>
      <c r="AY222" s="239"/>
      <c r="AZ222" s="78"/>
      <c r="BA222" s="78"/>
      <c r="BB222" s="145" t="s">
        <v>216</v>
      </c>
      <c r="BC222" s="146"/>
      <c r="BD222" s="186"/>
      <c r="BE222" s="146"/>
      <c r="BF222" s="189">
        <f t="shared" si="29"/>
        <v>0</v>
      </c>
      <c r="BG222" s="218"/>
      <c r="BH222" s="189"/>
      <c r="BI222" s="145" t="s">
        <v>216</v>
      </c>
      <c r="BJ222" s="146"/>
      <c r="BK222" s="150" t="s">
        <v>216</v>
      </c>
      <c r="BL222" s="151"/>
      <c r="BR222" s="145" t="s">
        <v>216</v>
      </c>
      <c r="BS222" s="146"/>
      <c r="CA222" s="145" t="s">
        <v>216</v>
      </c>
      <c r="CB222" s="146"/>
    </row>
    <row r="223" spans="33:80" ht="18">
      <c r="AG223" s="235"/>
      <c r="AH223" s="236"/>
      <c r="AI223" s="145"/>
      <c r="AJ223" s="145" t="s">
        <v>376</v>
      </c>
      <c r="AK223" s="146">
        <v>2102312.1</v>
      </c>
      <c r="AL223" s="189">
        <f>AL178-AL221</f>
        <v>2098739.46</v>
      </c>
      <c r="AM223" s="189">
        <f>AL223-AK223</f>
        <v>-3572.6400000001304</v>
      </c>
      <c r="AN223" s="145" t="s">
        <v>376</v>
      </c>
      <c r="AO223" s="146">
        <v>2923012.64</v>
      </c>
      <c r="AR223" s="150" t="s">
        <v>376</v>
      </c>
      <c r="AS223" s="151">
        <f>BC223</f>
        <v>2739766.31</v>
      </c>
      <c r="AT223" s="185">
        <f>AT178-AT221</f>
        <v>2739505.05</v>
      </c>
      <c r="AW223" s="150" t="s">
        <v>216</v>
      </c>
      <c r="AX223" s="151"/>
      <c r="AY223" s="239"/>
      <c r="AZ223" s="78"/>
      <c r="BA223" s="78"/>
      <c r="BB223" s="145" t="s">
        <v>376</v>
      </c>
      <c r="BC223" s="146">
        <v>2739766.31</v>
      </c>
      <c r="BD223" s="186"/>
      <c r="BE223" s="146">
        <v>2739766.31</v>
      </c>
      <c r="BF223" s="189">
        <f t="shared" si="29"/>
        <v>0</v>
      </c>
      <c r="BG223" s="218"/>
      <c r="BH223" s="189"/>
      <c r="BI223" s="145" t="s">
        <v>376</v>
      </c>
      <c r="BJ223" s="146">
        <v>2909550.85</v>
      </c>
      <c r="BK223" s="150" t="s">
        <v>376</v>
      </c>
      <c r="BL223" s="151">
        <f>BV221</f>
        <v>0</v>
      </c>
      <c r="BR223" s="145" t="s">
        <v>376</v>
      </c>
      <c r="BS223" s="146">
        <v>2932014.73</v>
      </c>
      <c r="CA223" s="145" t="s">
        <v>376</v>
      </c>
      <c r="CB223" s="146">
        <v>2102312.1</v>
      </c>
    </row>
    <row r="224" spans="33:80" ht="18">
      <c r="AG224" s="235"/>
      <c r="AH224" s="236"/>
      <c r="AI224" s="145"/>
      <c r="AJ224" s="145" t="s">
        <v>216</v>
      </c>
      <c r="AK224" s="146"/>
      <c r="AL224" s="189"/>
      <c r="AM224" s="189"/>
      <c r="AN224" s="145" t="s">
        <v>216</v>
      </c>
      <c r="AO224" s="146"/>
      <c r="AR224" s="150" t="s">
        <v>216</v>
      </c>
      <c r="AS224" s="151"/>
      <c r="AT224" s="222"/>
      <c r="AW224" s="150" t="s">
        <v>372</v>
      </c>
      <c r="AX224" s="151"/>
      <c r="AY224" s="239"/>
      <c r="AZ224" s="78"/>
      <c r="BA224" s="78"/>
      <c r="BB224" s="145" t="s">
        <v>216</v>
      </c>
      <c r="BC224" s="146"/>
      <c r="BD224" s="186"/>
      <c r="BE224" s="146"/>
      <c r="BF224" s="189">
        <f t="shared" si="29"/>
        <v>0</v>
      </c>
      <c r="BG224" s="218"/>
      <c r="BH224" s="189"/>
      <c r="BI224" s="145" t="s">
        <v>216</v>
      </c>
      <c r="BJ224" s="146"/>
      <c r="BK224" s="150" t="s">
        <v>216</v>
      </c>
      <c r="BL224" s="153"/>
      <c r="BR224" s="145" t="s">
        <v>216</v>
      </c>
      <c r="BS224" s="146"/>
      <c r="CA224" s="145" t="s">
        <v>216</v>
      </c>
      <c r="CB224" s="146"/>
    </row>
    <row r="225" spans="33:80" ht="18">
      <c r="AG225" s="235"/>
      <c r="AH225" s="236"/>
      <c r="AI225" s="145"/>
      <c r="AJ225" s="145" t="s">
        <v>377</v>
      </c>
      <c r="AK225" s="146">
        <v>0</v>
      </c>
      <c r="AL225" s="189"/>
      <c r="AM225" s="189"/>
      <c r="AN225" s="145" t="s">
        <v>377</v>
      </c>
      <c r="AO225" s="146">
        <v>0</v>
      </c>
      <c r="AR225" s="150" t="s">
        <v>377</v>
      </c>
      <c r="AS225" s="151">
        <v>0</v>
      </c>
      <c r="AT225" s="222"/>
      <c r="AW225" s="150" t="s">
        <v>37</v>
      </c>
      <c r="AX225" s="151">
        <v>28178.12</v>
      </c>
      <c r="AY225" s="239"/>
      <c r="AZ225" s="78"/>
      <c r="BA225" s="78"/>
      <c r="BB225" s="145" t="s">
        <v>377</v>
      </c>
      <c r="BC225" s="146">
        <v>0</v>
      </c>
      <c r="BD225" s="186"/>
      <c r="BE225" s="146">
        <v>0</v>
      </c>
      <c r="BF225" s="189">
        <f t="shared" si="29"/>
        <v>0</v>
      </c>
      <c r="BG225" s="218"/>
      <c r="BH225" s="189"/>
      <c r="BI225" s="145" t="s">
        <v>377</v>
      </c>
      <c r="BJ225" s="146">
        <v>0</v>
      </c>
      <c r="BK225" s="150" t="s">
        <v>377</v>
      </c>
      <c r="BL225" s="151"/>
      <c r="BR225" s="145" t="s">
        <v>377</v>
      </c>
      <c r="BS225" s="146">
        <v>0</v>
      </c>
      <c r="CA225" s="145" t="s">
        <v>377</v>
      </c>
      <c r="CB225" s="146">
        <v>0</v>
      </c>
    </row>
    <row r="226" spans="33:80" ht="18">
      <c r="AG226" s="235"/>
      <c r="AH226" s="236"/>
      <c r="AI226" s="145"/>
      <c r="AJ226" s="145" t="s">
        <v>378</v>
      </c>
      <c r="AK226" s="146"/>
      <c r="AL226" s="189"/>
      <c r="AM226" s="189"/>
      <c r="AN226" s="145" t="s">
        <v>378</v>
      </c>
      <c r="AO226" s="146"/>
      <c r="AR226" s="150" t="s">
        <v>378</v>
      </c>
      <c r="AS226" s="151"/>
      <c r="AT226" s="222"/>
      <c r="AW226" s="150" t="s">
        <v>373</v>
      </c>
      <c r="AX226" s="151">
        <v>1894.38</v>
      </c>
      <c r="AY226" s="239"/>
      <c r="AZ226" s="78"/>
      <c r="BA226" s="78"/>
      <c r="BB226" s="145" t="s">
        <v>378</v>
      </c>
      <c r="BC226" s="146"/>
      <c r="BD226" s="186"/>
      <c r="BE226" s="146"/>
      <c r="BF226" s="189">
        <f t="shared" si="29"/>
        <v>0</v>
      </c>
      <c r="BG226" s="218"/>
      <c r="BH226" s="189"/>
      <c r="BI226" s="145" t="s">
        <v>378</v>
      </c>
      <c r="BJ226" s="146"/>
      <c r="BK226" s="150" t="s">
        <v>378</v>
      </c>
      <c r="BL226" s="151">
        <f>BV223</f>
        <v>0</v>
      </c>
      <c r="BR226" s="145" t="s">
        <v>378</v>
      </c>
      <c r="BS226" s="146"/>
      <c r="CA226" s="145" t="s">
        <v>378</v>
      </c>
      <c r="CB226" s="146"/>
    </row>
    <row r="227" spans="33:80" ht="18">
      <c r="AG227" s="235"/>
      <c r="AH227" s="236"/>
      <c r="AI227" s="145"/>
      <c r="AJ227" s="145" t="s">
        <v>379</v>
      </c>
      <c r="AK227" s="157">
        <v>2200000.75</v>
      </c>
      <c r="AL227" s="189">
        <f>AK227</f>
        <v>2200000.75</v>
      </c>
      <c r="AM227" s="189"/>
      <c r="AN227" s="145" t="s">
        <v>379</v>
      </c>
      <c r="AO227" s="157">
        <v>2999385.45</v>
      </c>
      <c r="AR227" s="150" t="s">
        <v>379</v>
      </c>
      <c r="AS227" s="151">
        <f>BC227</f>
        <v>3117041.51</v>
      </c>
      <c r="AT227" s="185">
        <f>AS227</f>
        <v>3117041.51</v>
      </c>
      <c r="AW227" s="150" t="s">
        <v>34</v>
      </c>
      <c r="AX227" s="153">
        <v>38498.85</v>
      </c>
      <c r="AY227" s="239"/>
      <c r="AZ227" s="78"/>
      <c r="BA227" s="78"/>
      <c r="BB227" s="145" t="s">
        <v>379</v>
      </c>
      <c r="BC227" s="157">
        <v>3117041.51</v>
      </c>
      <c r="BD227" s="186"/>
      <c r="BE227" s="157">
        <v>3117041.51</v>
      </c>
      <c r="BF227" s="189">
        <f t="shared" si="29"/>
        <v>0</v>
      </c>
      <c r="BG227" s="218"/>
      <c r="BH227" s="189"/>
      <c r="BI227" s="145" t="s">
        <v>379</v>
      </c>
      <c r="BJ227" s="157">
        <v>2990645.88</v>
      </c>
      <c r="BK227" s="150" t="s">
        <v>379</v>
      </c>
      <c r="BL227" s="151"/>
      <c r="BR227" s="145" t="s">
        <v>379</v>
      </c>
      <c r="BS227" s="157">
        <v>2998771.88</v>
      </c>
      <c r="CA227" s="145" t="s">
        <v>379</v>
      </c>
      <c r="CB227" s="157">
        <v>2200000.75</v>
      </c>
    </row>
    <row r="228" spans="33:80" ht="18">
      <c r="AG228" s="235"/>
      <c r="AH228" s="236"/>
      <c r="AI228" s="145"/>
      <c r="AJ228" s="145" t="s">
        <v>216</v>
      </c>
      <c r="AK228" s="146"/>
      <c r="AL228" s="189"/>
      <c r="AM228" s="189"/>
      <c r="AN228" s="145" t="s">
        <v>216</v>
      </c>
      <c r="AO228" s="146"/>
      <c r="AR228" s="150" t="s">
        <v>216</v>
      </c>
      <c r="AS228" s="153"/>
      <c r="AT228" s="222"/>
      <c r="AY228" s="239"/>
      <c r="AZ228" s="78"/>
      <c r="BA228" s="78"/>
      <c r="BB228" s="145" t="s">
        <v>216</v>
      </c>
      <c r="BC228" s="146"/>
      <c r="BD228" s="186"/>
      <c r="BE228" s="146"/>
      <c r="BF228" s="189">
        <f t="shared" si="29"/>
        <v>0</v>
      </c>
      <c r="BG228" s="218"/>
      <c r="BH228" s="189"/>
      <c r="BI228" s="145" t="s">
        <v>216</v>
      </c>
      <c r="BJ228" s="146"/>
      <c r="BK228" s="150" t="s">
        <v>216</v>
      </c>
      <c r="BL228" s="151">
        <v>0</v>
      </c>
      <c r="BR228" s="145" t="s">
        <v>216</v>
      </c>
      <c r="BS228" s="146"/>
      <c r="CA228" s="145" t="s">
        <v>216</v>
      </c>
      <c r="CB228" s="146"/>
    </row>
    <row r="229" spans="33:80" ht="18">
      <c r="AG229" s="235"/>
      <c r="AH229" s="236"/>
      <c r="AI229" s="145"/>
      <c r="AJ229" s="145" t="s">
        <v>380</v>
      </c>
      <c r="AK229" s="146">
        <v>97688.65</v>
      </c>
      <c r="AL229" s="289">
        <f>AL227-AL223</f>
        <v>101261.29000000004</v>
      </c>
      <c r="AM229" s="189">
        <f>AL229-AK229</f>
        <v>3572.640000000043</v>
      </c>
      <c r="AN229" s="145" t="s">
        <v>380</v>
      </c>
      <c r="AO229" s="146">
        <v>76372.81</v>
      </c>
      <c r="AR229" s="150" t="s">
        <v>380</v>
      </c>
      <c r="AS229" s="151">
        <f>BC229</f>
        <v>377275.2</v>
      </c>
      <c r="AT229" s="222"/>
      <c r="AW229" s="150" t="s">
        <v>374</v>
      </c>
      <c r="AX229" s="151">
        <v>68571.35</v>
      </c>
      <c r="AY229" s="239"/>
      <c r="AZ229" s="78"/>
      <c r="BA229" s="78"/>
      <c r="BB229" s="145" t="s">
        <v>380</v>
      </c>
      <c r="BC229" s="146">
        <v>377275.2</v>
      </c>
      <c r="BD229" s="186"/>
      <c r="BE229" s="146">
        <v>377275.2</v>
      </c>
      <c r="BF229" s="189">
        <f t="shared" si="29"/>
        <v>0</v>
      </c>
      <c r="BG229" s="218"/>
      <c r="BH229" s="189"/>
      <c r="BI229" s="145" t="s">
        <v>380</v>
      </c>
      <c r="BJ229" s="146">
        <v>81095.03</v>
      </c>
      <c r="BK229" s="150" t="s">
        <v>380</v>
      </c>
      <c r="BL229" s="151"/>
      <c r="BR229" s="145" t="s">
        <v>380</v>
      </c>
      <c r="BS229" s="146">
        <v>66757.15</v>
      </c>
      <c r="CA229" s="145" t="s">
        <v>380</v>
      </c>
      <c r="CB229" s="146">
        <v>97688.65</v>
      </c>
    </row>
    <row r="230" spans="33:80" ht="18">
      <c r="AG230" s="235"/>
      <c r="AH230" s="236"/>
      <c r="AI230" s="145"/>
      <c r="AJ230" s="145" t="s">
        <v>216</v>
      </c>
      <c r="AK230" s="146"/>
      <c r="AL230" s="189"/>
      <c r="AM230" s="189"/>
      <c r="AN230" s="145" t="s">
        <v>216</v>
      </c>
      <c r="AO230" s="146"/>
      <c r="AR230" s="150" t="s">
        <v>216</v>
      </c>
      <c r="AS230" s="151"/>
      <c r="AT230" s="222"/>
      <c r="AW230" s="150" t="s">
        <v>216</v>
      </c>
      <c r="AX230" s="151"/>
      <c r="AY230" s="239"/>
      <c r="AZ230" s="78"/>
      <c r="BA230" s="78"/>
      <c r="BB230" s="145" t="s">
        <v>216</v>
      </c>
      <c r="BC230" s="146"/>
      <c r="BD230" s="186"/>
      <c r="BE230" s="146"/>
      <c r="BF230" s="189">
        <f t="shared" si="29"/>
        <v>0</v>
      </c>
      <c r="BG230" s="218"/>
      <c r="BH230" s="189"/>
      <c r="BI230" s="145" t="s">
        <v>216</v>
      </c>
      <c r="BJ230" s="146"/>
      <c r="BK230" s="150" t="s">
        <v>216</v>
      </c>
      <c r="BL230" s="151">
        <f>BV227</f>
        <v>0</v>
      </c>
      <c r="BR230" s="145" t="s">
        <v>216</v>
      </c>
      <c r="BS230" s="146"/>
      <c r="CA230" s="145" t="s">
        <v>216</v>
      </c>
      <c r="CB230" s="146"/>
    </row>
    <row r="231" spans="33:80" ht="18">
      <c r="AG231" s="235"/>
      <c r="AH231" s="236"/>
      <c r="AI231" s="145"/>
      <c r="AJ231" s="145" t="s">
        <v>216</v>
      </c>
      <c r="AK231" s="146"/>
      <c r="AL231" s="189"/>
      <c r="AM231" s="189"/>
      <c r="AN231" s="145" t="s">
        <v>216</v>
      </c>
      <c r="AO231" s="146"/>
      <c r="AR231" s="150" t="s">
        <v>216</v>
      </c>
      <c r="AS231" s="151"/>
      <c r="AT231" s="185"/>
      <c r="AY231" s="239"/>
      <c r="AZ231" s="78"/>
      <c r="BA231" s="78"/>
      <c r="BB231" s="145" t="s">
        <v>216</v>
      </c>
      <c r="BC231" s="146"/>
      <c r="BD231" s="186"/>
      <c r="BE231" s="146"/>
      <c r="BF231" s="189">
        <f t="shared" si="29"/>
        <v>0</v>
      </c>
      <c r="BG231" s="218"/>
      <c r="BH231" s="189"/>
      <c r="BI231" s="145" t="s">
        <v>216</v>
      </c>
      <c r="BJ231" s="146"/>
      <c r="BK231" s="150" t="s">
        <v>216</v>
      </c>
      <c r="BL231" s="153"/>
      <c r="BR231" s="145" t="s">
        <v>216</v>
      </c>
      <c r="BS231" s="146"/>
      <c r="CA231" s="145" t="s">
        <v>216</v>
      </c>
      <c r="CB231" s="146"/>
    </row>
    <row r="232" spans="33:80" ht="18">
      <c r="AG232" s="235"/>
      <c r="AH232" s="236"/>
      <c r="AI232" s="145"/>
      <c r="AJ232" s="145" t="s">
        <v>381</v>
      </c>
      <c r="AK232" s="157">
        <v>0</v>
      </c>
      <c r="AL232" s="189"/>
      <c r="AM232" s="189"/>
      <c r="AN232" s="145" t="s">
        <v>381</v>
      </c>
      <c r="AO232" s="157">
        <v>0</v>
      </c>
      <c r="AR232" s="150" t="s">
        <v>381</v>
      </c>
      <c r="AS232" s="151">
        <v>0</v>
      </c>
      <c r="AT232" s="222"/>
      <c r="AY232" s="239"/>
      <c r="AZ232" s="78"/>
      <c r="BA232" s="78"/>
      <c r="BB232" s="145" t="s">
        <v>381</v>
      </c>
      <c r="BC232" s="157">
        <v>0</v>
      </c>
      <c r="BD232" s="186"/>
      <c r="BE232" s="157">
        <v>0</v>
      </c>
      <c r="BF232" s="189">
        <f t="shared" si="29"/>
        <v>0</v>
      </c>
      <c r="BG232" s="218"/>
      <c r="BH232" s="189"/>
      <c r="BI232" s="145" t="s">
        <v>381</v>
      </c>
      <c r="BJ232" s="157">
        <v>0</v>
      </c>
      <c r="BK232" s="150" t="s">
        <v>381</v>
      </c>
      <c r="BL232" s="151">
        <f>BV229</f>
        <v>0</v>
      </c>
      <c r="BR232" s="145" t="s">
        <v>381</v>
      </c>
      <c r="BS232" s="157">
        <v>0</v>
      </c>
      <c r="CA232" s="145" t="s">
        <v>381</v>
      </c>
      <c r="CB232" s="157">
        <v>0</v>
      </c>
    </row>
    <row r="233" spans="33:80" ht="18">
      <c r="AG233" s="235"/>
      <c r="AH233" s="236"/>
      <c r="AI233" s="145"/>
      <c r="AJ233" s="145" t="s">
        <v>216</v>
      </c>
      <c r="AK233" s="146"/>
      <c r="AL233" s="189"/>
      <c r="AM233" s="189"/>
      <c r="AN233" s="145" t="s">
        <v>216</v>
      </c>
      <c r="AO233" s="146"/>
      <c r="AR233" s="150" t="s">
        <v>216</v>
      </c>
      <c r="AS233" s="153"/>
      <c r="AT233" s="222"/>
      <c r="AW233" s="150" t="s">
        <v>375</v>
      </c>
      <c r="AX233" s="153">
        <v>986034.87</v>
      </c>
      <c r="AY233" s="239"/>
      <c r="AZ233" s="78"/>
      <c r="BA233" s="78"/>
      <c r="BB233" s="145" t="s">
        <v>216</v>
      </c>
      <c r="BC233" s="146"/>
      <c r="BD233" s="186"/>
      <c r="BE233" s="146"/>
      <c r="BF233" s="189">
        <f t="shared" si="29"/>
        <v>0</v>
      </c>
      <c r="BG233" s="218"/>
      <c r="BH233" s="189"/>
      <c r="BI233" s="145" t="s">
        <v>216</v>
      </c>
      <c r="BJ233" s="146"/>
      <c r="BK233" s="150" t="s">
        <v>216</v>
      </c>
      <c r="BL233" s="151"/>
      <c r="BR233" s="145" t="s">
        <v>216</v>
      </c>
      <c r="BS233" s="146"/>
      <c r="CA233" s="145" t="s">
        <v>216</v>
      </c>
      <c r="CB233" s="146"/>
    </row>
    <row r="234" spans="33:80" ht="18">
      <c r="AG234" s="235"/>
      <c r="AH234" s="236"/>
      <c r="AI234" s="145"/>
      <c r="AJ234" s="145" t="s">
        <v>216</v>
      </c>
      <c r="AK234" s="146"/>
      <c r="AL234" s="189"/>
      <c r="AM234" s="189"/>
      <c r="AN234" s="145" t="s">
        <v>216</v>
      </c>
      <c r="AO234" s="146"/>
      <c r="AR234" s="150" t="s">
        <v>382</v>
      </c>
      <c r="AS234" s="151"/>
      <c r="AT234" s="185"/>
      <c r="AW234" s="150" t="s">
        <v>216</v>
      </c>
      <c r="AX234" s="151"/>
      <c r="AY234" s="239"/>
      <c r="AZ234" s="78"/>
      <c r="BA234" s="78"/>
      <c r="BB234" s="145" t="s">
        <v>216</v>
      </c>
      <c r="BC234" s="146"/>
      <c r="BD234" s="186"/>
      <c r="BE234" s="146"/>
      <c r="BF234" s="189">
        <f t="shared" si="29"/>
        <v>0</v>
      </c>
      <c r="BG234" s="218"/>
      <c r="BH234" s="189"/>
      <c r="BI234" s="145" t="s">
        <v>216</v>
      </c>
      <c r="BJ234" s="146"/>
      <c r="BK234" s="150" t="s">
        <v>382</v>
      </c>
      <c r="BL234" s="151"/>
      <c r="BR234" s="145" t="s">
        <v>216</v>
      </c>
      <c r="BS234" s="146"/>
      <c r="CA234" s="145" t="s">
        <v>216</v>
      </c>
      <c r="CB234" s="146"/>
    </row>
    <row r="235" spans="33:80" ht="18.75" thickBot="1">
      <c r="AG235" s="235"/>
      <c r="AH235" s="236"/>
      <c r="AI235" s="145"/>
      <c r="AJ235" s="145" t="s">
        <v>382</v>
      </c>
      <c r="AK235" s="158">
        <v>97688.65</v>
      </c>
      <c r="AL235" s="189"/>
      <c r="AM235" s="189"/>
      <c r="AN235" s="145" t="s">
        <v>382</v>
      </c>
      <c r="AO235" s="158">
        <v>76372.81</v>
      </c>
      <c r="AR235" s="150" t="s">
        <v>383</v>
      </c>
      <c r="AS235" s="154"/>
      <c r="AT235" s="185">
        <f>AT227-AT223</f>
        <v>377536.45999999996</v>
      </c>
      <c r="AY235" s="239"/>
      <c r="AZ235" s="78"/>
      <c r="BA235" s="78"/>
      <c r="BB235" s="145" t="s">
        <v>382</v>
      </c>
      <c r="BC235" s="158">
        <v>377275.2</v>
      </c>
      <c r="BD235" s="186"/>
      <c r="BE235" s="158">
        <v>377275.2</v>
      </c>
      <c r="BF235" s="189">
        <f t="shared" si="29"/>
        <v>0</v>
      </c>
      <c r="BG235" s="218"/>
      <c r="BH235" s="189"/>
      <c r="BI235" s="145" t="s">
        <v>382</v>
      </c>
      <c r="BJ235" s="158">
        <v>81095.03</v>
      </c>
      <c r="BK235" s="150" t="s">
        <v>383</v>
      </c>
      <c r="BL235" s="151">
        <v>0</v>
      </c>
      <c r="BR235" s="145" t="s">
        <v>382</v>
      </c>
      <c r="BS235" s="158">
        <v>66757.15</v>
      </c>
      <c r="CA235" s="145" t="s">
        <v>382</v>
      </c>
      <c r="CB235" s="158">
        <v>97688.65</v>
      </c>
    </row>
    <row r="236" spans="33:71" ht="18.75" thickTop="1">
      <c r="AG236" s="235"/>
      <c r="AH236" s="236"/>
      <c r="AI236" s="236"/>
      <c r="AJ236" s="145" t="s">
        <v>216</v>
      </c>
      <c r="AK236" s="146"/>
      <c r="AL236" s="236"/>
      <c r="AM236" s="188"/>
      <c r="AN236" s="145" t="s">
        <v>216</v>
      </c>
      <c r="AO236" s="146"/>
      <c r="AT236" s="222"/>
      <c r="AW236" s="150" t="s">
        <v>376</v>
      </c>
      <c r="AX236" s="151">
        <v>2739766.31</v>
      </c>
      <c r="AY236" s="239"/>
      <c r="AZ236" s="78"/>
      <c r="BA236" s="78"/>
      <c r="BB236" s="145"/>
      <c r="BD236" s="186"/>
      <c r="BE236" s="187"/>
      <c r="BF236" s="78"/>
      <c r="BG236" s="78"/>
      <c r="BH236" s="78"/>
      <c r="BI236" s="145" t="s">
        <v>216</v>
      </c>
      <c r="BJ236" s="146"/>
      <c r="BK236" s="114"/>
      <c r="BL236" s="153"/>
      <c r="BR236" s="145" t="s">
        <v>216</v>
      </c>
      <c r="BS236" s="146"/>
    </row>
    <row r="237" spans="33:64" ht="18">
      <c r="AG237" s="235"/>
      <c r="AH237" s="236"/>
      <c r="AI237" s="236"/>
      <c r="AJ237" s="145" t="s">
        <v>216</v>
      </c>
      <c r="AK237" s="236"/>
      <c r="AL237" s="236"/>
      <c r="AM237" s="78"/>
      <c r="AN237" s="145" t="s">
        <v>216</v>
      </c>
      <c r="AO237" s="189"/>
      <c r="AT237" s="222"/>
      <c r="AY237" s="239"/>
      <c r="AZ237" s="78"/>
      <c r="BA237" s="78"/>
      <c r="BB237" s="145"/>
      <c r="BD237" s="78"/>
      <c r="BI237" s="145" t="s">
        <v>216</v>
      </c>
      <c r="BJ237" s="146"/>
      <c r="BK237" s="114"/>
      <c r="BL237" s="151"/>
    </row>
    <row r="238" spans="33:64" ht="18.75" thickBot="1">
      <c r="AG238" s="235"/>
      <c r="AH238" s="236"/>
      <c r="AI238" s="236"/>
      <c r="AJ238" s="236"/>
      <c r="AK238" s="236"/>
      <c r="AL238" s="236"/>
      <c r="AM238" s="78"/>
      <c r="AN238" s="145" t="s">
        <v>216</v>
      </c>
      <c r="AO238" s="189"/>
      <c r="AT238" s="185"/>
      <c r="AW238" s="150" t="s">
        <v>377</v>
      </c>
      <c r="AX238" s="151">
        <v>0</v>
      </c>
      <c r="AY238" s="239"/>
      <c r="AZ238" s="78"/>
      <c r="BA238" s="78"/>
      <c r="BB238" s="145"/>
      <c r="BD238" s="78"/>
      <c r="BE238" s="78"/>
      <c r="BF238" s="78"/>
      <c r="BG238" s="78"/>
      <c r="BH238" s="78"/>
      <c r="BI238" s="145" t="s">
        <v>216</v>
      </c>
      <c r="BJ238" s="157"/>
      <c r="BK238" s="114"/>
      <c r="BL238" s="154"/>
    </row>
    <row r="239" spans="33:64" ht="18.75" thickTop="1">
      <c r="AG239" s="235"/>
      <c r="AH239" s="236"/>
      <c r="AI239" s="236"/>
      <c r="AJ239" s="236"/>
      <c r="AK239" s="236"/>
      <c r="AL239" s="236"/>
      <c r="AM239" s="78"/>
      <c r="AN239" s="233"/>
      <c r="AO239" s="237"/>
      <c r="AT239" s="222"/>
      <c r="AW239" s="150" t="s">
        <v>378</v>
      </c>
      <c r="AX239" s="151"/>
      <c r="AY239" s="239"/>
      <c r="AZ239" s="78"/>
      <c r="BA239" s="78"/>
      <c r="BB239" s="145"/>
      <c r="BD239" s="78"/>
      <c r="BE239" s="78"/>
      <c r="BF239" s="78"/>
      <c r="BG239" s="78"/>
      <c r="BH239" s="78"/>
      <c r="BI239" s="145"/>
      <c r="BJ239" s="146"/>
      <c r="BK239" s="114"/>
      <c r="BL239" s="114"/>
    </row>
    <row r="240" spans="33:64" ht="18">
      <c r="AG240" s="235"/>
      <c r="AH240" s="236"/>
      <c r="AI240" s="236"/>
      <c r="AJ240" s="236"/>
      <c r="AK240" s="236"/>
      <c r="AL240" s="236"/>
      <c r="AM240" s="78"/>
      <c r="AO240" s="78"/>
      <c r="AT240" s="222"/>
      <c r="AW240" s="150" t="s">
        <v>379</v>
      </c>
      <c r="AX240" s="153">
        <v>3117041.51</v>
      </c>
      <c r="AY240" s="239"/>
      <c r="AZ240" s="78"/>
      <c r="BA240" s="78"/>
      <c r="BB240" s="145"/>
      <c r="BD240" s="78"/>
      <c r="BE240" s="78"/>
      <c r="BF240" s="78"/>
      <c r="BG240" s="78"/>
      <c r="BH240" s="78"/>
      <c r="BI240" s="78"/>
      <c r="BK240" s="114"/>
      <c r="BL240" s="114"/>
    </row>
    <row r="241" spans="33:64" ht="18">
      <c r="AG241" s="235"/>
      <c r="AH241" s="236"/>
      <c r="AI241" s="236"/>
      <c r="AJ241" s="236"/>
      <c r="AK241" s="236"/>
      <c r="AL241" s="236"/>
      <c r="AM241" s="78"/>
      <c r="AT241" s="159"/>
      <c r="AW241" s="150" t="s">
        <v>216</v>
      </c>
      <c r="AX241" s="151"/>
      <c r="AY241" s="239"/>
      <c r="AZ241" s="78"/>
      <c r="BA241" s="78"/>
      <c r="BB241" s="145"/>
      <c r="BD241" s="78"/>
      <c r="BE241" s="78"/>
      <c r="BF241" s="78"/>
      <c r="BG241" s="78"/>
      <c r="BH241" s="78"/>
      <c r="BI241" s="78"/>
      <c r="BK241" s="114"/>
      <c r="BL241" s="114"/>
    </row>
    <row r="242" spans="33:64" ht="18">
      <c r="AG242" s="235"/>
      <c r="AH242" s="236"/>
      <c r="AI242" s="236"/>
      <c r="AJ242" s="236"/>
      <c r="AK242" s="236"/>
      <c r="AL242" s="236"/>
      <c r="AM242" s="78"/>
      <c r="AN242" s="233"/>
      <c r="AO242" s="237"/>
      <c r="AT242" s="222"/>
      <c r="AY242" s="239"/>
      <c r="AZ242" s="78"/>
      <c r="BA242" s="78"/>
      <c r="BB242" s="145"/>
      <c r="BK242" s="114"/>
      <c r="BL242" s="114"/>
    </row>
    <row r="243" spans="33:64" ht="18">
      <c r="AG243" s="235"/>
      <c r="AH243" s="236"/>
      <c r="AI243" s="236"/>
      <c r="AJ243" s="236"/>
      <c r="AK243" s="236"/>
      <c r="AL243" s="236"/>
      <c r="AM243" s="78"/>
      <c r="AN243" s="78"/>
      <c r="AO243" s="237"/>
      <c r="AT243" s="222"/>
      <c r="AW243" s="150" t="s">
        <v>380</v>
      </c>
      <c r="AX243" s="151">
        <v>377275.2</v>
      </c>
      <c r="AY243" s="239"/>
      <c r="AZ243" s="78"/>
      <c r="BA243" s="78"/>
      <c r="BB243" s="145"/>
      <c r="BK243" s="114"/>
      <c r="BL243" s="114"/>
    </row>
    <row r="244" spans="33:64" ht="18">
      <c r="AG244" s="235"/>
      <c r="AH244" s="236"/>
      <c r="AI244" s="236"/>
      <c r="AJ244" s="236"/>
      <c r="AK244" s="236"/>
      <c r="AL244" s="236"/>
      <c r="AM244" s="78"/>
      <c r="AO244" s="222"/>
      <c r="AT244" s="222"/>
      <c r="AW244" s="150" t="s">
        <v>216</v>
      </c>
      <c r="AX244" s="151"/>
      <c r="AY244" s="239"/>
      <c r="AZ244" s="78"/>
      <c r="BA244" s="78"/>
      <c r="BB244" s="145"/>
      <c r="BK244" s="114"/>
      <c r="BL244" s="114"/>
    </row>
    <row r="245" spans="33:64" ht="18">
      <c r="AG245" s="235"/>
      <c r="AH245" s="236"/>
      <c r="AI245" s="236"/>
      <c r="AJ245" s="236"/>
      <c r="AK245" s="236"/>
      <c r="AL245" s="236"/>
      <c r="AM245" s="78"/>
      <c r="AN245" s="7" t="s">
        <v>408</v>
      </c>
      <c r="AT245" s="222"/>
      <c r="AW245" s="150" t="s">
        <v>216</v>
      </c>
      <c r="AX245" s="151"/>
      <c r="AY245" s="239"/>
      <c r="AZ245" s="78"/>
      <c r="BA245" s="78"/>
      <c r="BB245" s="145"/>
      <c r="BK245" s="114"/>
      <c r="BL245" s="114"/>
    </row>
    <row r="246" spans="33:64" ht="18">
      <c r="AG246" s="78"/>
      <c r="AH246" s="123"/>
      <c r="AI246" s="123"/>
      <c r="AJ246" s="123"/>
      <c r="AK246" s="123"/>
      <c r="AL246" s="123"/>
      <c r="AM246" s="78"/>
      <c r="AT246" s="222"/>
      <c r="AW246" s="150" t="s">
        <v>381</v>
      </c>
      <c r="AX246" s="153">
        <v>0</v>
      </c>
      <c r="AY246" s="239"/>
      <c r="AZ246" s="78"/>
      <c r="BA246" s="78"/>
      <c r="BB246" s="145"/>
      <c r="BK246" s="114"/>
      <c r="BL246" s="114"/>
    </row>
    <row r="247" spans="33:64" ht="18">
      <c r="AG247" s="78"/>
      <c r="AH247" s="123"/>
      <c r="AI247" s="123"/>
      <c r="AJ247" s="123"/>
      <c r="AK247" s="123"/>
      <c r="AL247" s="123"/>
      <c r="AM247" s="78"/>
      <c r="AT247" s="222"/>
      <c r="AW247" s="150" t="s">
        <v>216</v>
      </c>
      <c r="AX247" s="151"/>
      <c r="AY247" s="239"/>
      <c r="AZ247" s="78"/>
      <c r="BA247" s="78"/>
      <c r="BB247" s="145"/>
      <c r="BK247" s="114"/>
      <c r="BL247" s="114"/>
    </row>
    <row r="248" spans="33:64" ht="18">
      <c r="AG248" s="78"/>
      <c r="AH248" s="123"/>
      <c r="AI248" s="123"/>
      <c r="AJ248" s="123"/>
      <c r="AK248" s="123"/>
      <c r="AL248" s="123"/>
      <c r="AM248" s="78"/>
      <c r="AW248" s="150"/>
      <c r="AX248" s="151"/>
      <c r="AY248" s="239"/>
      <c r="AZ248" s="78"/>
      <c r="BA248" s="78"/>
      <c r="BB248" s="145"/>
      <c r="BK248" s="114"/>
      <c r="BL248" s="114"/>
    </row>
    <row r="249" spans="33:64" ht="18.75" thickBot="1">
      <c r="AG249" s="78"/>
      <c r="AH249" s="123"/>
      <c r="AI249" s="123"/>
      <c r="AJ249" s="123"/>
      <c r="AK249" s="123"/>
      <c r="AL249" s="123"/>
      <c r="AM249" s="78"/>
      <c r="AW249" s="150"/>
      <c r="AX249" s="154"/>
      <c r="AY249" s="239"/>
      <c r="AZ249" s="78"/>
      <c r="BA249" s="78"/>
      <c r="BB249" s="145"/>
      <c r="BK249" s="114"/>
      <c r="BL249" s="114"/>
    </row>
    <row r="250" spans="33:64" ht="18.75" thickTop="1">
      <c r="AG250" s="78"/>
      <c r="AH250" s="123"/>
      <c r="AI250" s="123"/>
      <c r="AJ250" s="123"/>
      <c r="AK250" s="123"/>
      <c r="AL250" s="123"/>
      <c r="AM250" s="78"/>
      <c r="AW250" s="123"/>
      <c r="AX250" s="123"/>
      <c r="AY250" s="239"/>
      <c r="AZ250" s="78"/>
      <c r="BA250" s="78"/>
      <c r="BB250" s="145"/>
      <c r="BK250" s="114"/>
      <c r="BL250" s="114"/>
    </row>
    <row r="251" spans="33:64" ht="18">
      <c r="AG251" s="78"/>
      <c r="AH251" s="123"/>
      <c r="AI251" s="123"/>
      <c r="AJ251" s="123"/>
      <c r="AK251" s="123"/>
      <c r="AL251" s="123"/>
      <c r="AM251" s="78"/>
      <c r="AW251" s="123"/>
      <c r="AX251" s="123"/>
      <c r="AY251" s="239"/>
      <c r="AZ251" s="78"/>
      <c r="BA251" s="78"/>
      <c r="BB251" s="145"/>
      <c r="BK251" s="114"/>
      <c r="BL251" s="114"/>
    </row>
    <row r="252" spans="33:64" ht="18">
      <c r="AG252" s="78"/>
      <c r="AH252" s="123"/>
      <c r="AI252" s="123"/>
      <c r="AJ252" s="123"/>
      <c r="AK252" s="123"/>
      <c r="AL252" s="123"/>
      <c r="AM252" s="78"/>
      <c r="AW252" s="123"/>
      <c r="AX252" s="123"/>
      <c r="AY252" s="239"/>
      <c r="AZ252" s="78"/>
      <c r="BA252" s="78"/>
      <c r="BK252" s="114"/>
      <c r="BL252" s="114"/>
    </row>
    <row r="253" spans="33:64" ht="18">
      <c r="AG253" s="78"/>
      <c r="AH253" s="123"/>
      <c r="AI253" s="123"/>
      <c r="AJ253" s="123"/>
      <c r="AK253" s="123"/>
      <c r="AL253" s="123"/>
      <c r="AM253" s="78"/>
      <c r="AW253" s="123"/>
      <c r="AX253" s="123"/>
      <c r="AY253" s="239"/>
      <c r="AZ253" s="78"/>
      <c r="BA253" s="78"/>
      <c r="BK253" s="114"/>
      <c r="BL253" s="114"/>
    </row>
    <row r="254" spans="49:64" ht="18">
      <c r="AW254" s="123"/>
      <c r="AX254" s="123"/>
      <c r="AY254" s="239"/>
      <c r="AZ254" s="78"/>
      <c r="BA254" s="78"/>
      <c r="BK254" s="114"/>
      <c r="BL254" s="114"/>
    </row>
    <row r="255" spans="49:64" ht="18">
      <c r="AW255" s="123"/>
      <c r="AX255" s="123"/>
      <c r="AY255" s="239"/>
      <c r="AZ255" s="78"/>
      <c r="BA255" s="78"/>
      <c r="BK255" s="114"/>
      <c r="BL255" s="114"/>
    </row>
    <row r="256" spans="51:64" ht="18">
      <c r="AY256" s="239"/>
      <c r="BK256" s="114"/>
      <c r="BL256" s="114"/>
    </row>
    <row r="257" spans="51:64" ht="18">
      <c r="AY257" s="239"/>
      <c r="BK257" s="114"/>
      <c r="BL257" s="114"/>
    </row>
    <row r="258" spans="51:64" ht="18">
      <c r="AY258" s="239"/>
      <c r="BK258" s="114"/>
      <c r="BL258" s="114"/>
    </row>
    <row r="259" spans="63:64" ht="18">
      <c r="BK259" s="114"/>
      <c r="BL259" s="114"/>
    </row>
    <row r="260" spans="63:64" ht="18">
      <c r="BK260" s="114"/>
      <c r="BL260" s="114"/>
    </row>
    <row r="261" spans="63:64" ht="18">
      <c r="BK261" s="114"/>
      <c r="BL261" s="114"/>
    </row>
    <row r="262" spans="63:64" ht="18">
      <c r="BK262" s="114"/>
      <c r="BL262" s="114"/>
    </row>
  </sheetData>
  <sheetProtection/>
  <printOptions/>
  <pageMargins left="0.03937007874015748" right="0.03937007874015748" top="0.03937007874015748" bottom="0" header="0.31496062992125984" footer="0.31496062992125984"/>
  <pageSetup fitToHeight="3" fitToWidth="1" horizontalDpi="600" verticalDpi="600" orientation="landscape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.5546875" style="5" customWidth="1"/>
    <col min="2" max="2" width="40.4453125" style="5" customWidth="1"/>
    <col min="3" max="3" width="9.3359375" style="5" customWidth="1"/>
    <col min="4" max="4" width="9.5546875" style="5" customWidth="1"/>
    <col min="5" max="5" width="3.5546875" style="5" customWidth="1"/>
    <col min="6" max="6" width="8.4453125" style="5" customWidth="1"/>
    <col min="7" max="7" width="9.77734375" style="5" customWidth="1"/>
    <col min="8" max="8" width="9.99609375" style="5" customWidth="1"/>
    <col min="9" max="9" width="9.88671875" style="5" customWidth="1"/>
    <col min="10" max="10" width="3.5546875" style="5" customWidth="1"/>
    <col min="11" max="11" width="10.4453125" style="5" customWidth="1"/>
    <col min="12" max="12" width="9.10546875" style="5" customWidth="1"/>
    <col min="13" max="13" width="3.5546875" style="5" customWidth="1"/>
    <col min="14" max="14" width="10.21484375" style="5" customWidth="1"/>
    <col min="15" max="15" width="9.21484375" style="5" customWidth="1"/>
    <col min="16" max="16" width="2.99609375" style="5" customWidth="1"/>
    <col min="17" max="17" width="10.4453125" style="5" customWidth="1"/>
    <col min="18" max="18" width="10.5546875" style="5" customWidth="1"/>
    <col min="19" max="19" width="2.5546875" style="5" customWidth="1"/>
    <col min="20" max="20" width="10.21484375" style="5" customWidth="1"/>
    <col min="21" max="21" width="9.21484375" style="5" customWidth="1"/>
    <col min="22" max="22" width="2.77734375" style="5" customWidth="1"/>
    <col min="23" max="23" width="10.21484375" style="5" customWidth="1"/>
    <col min="24" max="24" width="10.10546875" style="5" customWidth="1"/>
    <col min="25" max="25" width="3.99609375" style="5" customWidth="1"/>
    <col min="26" max="26" width="10.21484375" style="5" customWidth="1"/>
    <col min="27" max="27" width="9.5546875" style="5" customWidth="1"/>
    <col min="28" max="28" width="3.21484375" style="5" customWidth="1"/>
    <col min="29" max="29" width="9.99609375" style="5" customWidth="1"/>
    <col min="30" max="30" width="10.10546875" style="5" customWidth="1"/>
    <col min="31" max="31" width="3.3359375" style="5" customWidth="1"/>
    <col min="32" max="32" width="9.99609375" style="5" customWidth="1"/>
    <col min="33" max="33" width="10.4453125" style="5" customWidth="1"/>
    <col min="34" max="34" width="2.5546875" style="5" customWidth="1"/>
    <col min="35" max="35" width="9.77734375" style="5" customWidth="1"/>
    <col min="36" max="36" width="1.88671875" style="5" customWidth="1"/>
    <col min="37" max="37" width="83.77734375" style="5" customWidth="1"/>
    <col min="38" max="16384" width="8.88671875" style="5" customWidth="1"/>
  </cols>
  <sheetData>
    <row r="1" spans="2:29" ht="27.75" customHeight="1">
      <c r="B1" s="80" t="s">
        <v>154</v>
      </c>
      <c r="N1" s="249"/>
      <c r="T1" s="35"/>
      <c r="U1" s="35"/>
      <c r="AC1" s="89"/>
    </row>
    <row r="2" spans="3:37" ht="52.5" customHeight="1">
      <c r="C2" s="69" t="s">
        <v>462</v>
      </c>
      <c r="F2" s="69" t="s">
        <v>417</v>
      </c>
      <c r="G2" s="82"/>
      <c r="H2" s="69" t="s">
        <v>463</v>
      </c>
      <c r="K2" s="69" t="s">
        <v>471</v>
      </c>
      <c r="L2" s="82"/>
      <c r="N2" s="69" t="s">
        <v>416</v>
      </c>
      <c r="O2" s="82"/>
      <c r="Q2" s="69" t="s">
        <v>400</v>
      </c>
      <c r="T2" s="69" t="s">
        <v>386</v>
      </c>
      <c r="U2" s="82"/>
      <c r="W2" s="69" t="s">
        <v>202</v>
      </c>
      <c r="Z2" s="69" t="s">
        <v>197</v>
      </c>
      <c r="AC2" s="69" t="s">
        <v>185</v>
      </c>
      <c r="AD2" s="82"/>
      <c r="AF2" s="31" t="s">
        <v>178</v>
      </c>
      <c r="AH2" s="35"/>
      <c r="AI2" s="82"/>
      <c r="AJ2" s="35"/>
      <c r="AK2" s="85"/>
    </row>
    <row r="3" spans="4:37" ht="15.75">
      <c r="D3" s="47" t="s">
        <v>53</v>
      </c>
      <c r="G3" s="47" t="s">
        <v>53</v>
      </c>
      <c r="I3" s="47" t="s">
        <v>53</v>
      </c>
      <c r="L3" s="47" t="s">
        <v>53</v>
      </c>
      <c r="O3" s="47" t="s">
        <v>53</v>
      </c>
      <c r="R3" s="47" t="s">
        <v>53</v>
      </c>
      <c r="S3" s="47"/>
      <c r="T3" s="162"/>
      <c r="U3" s="162" t="s">
        <v>53</v>
      </c>
      <c r="X3" s="47" t="s">
        <v>53</v>
      </c>
      <c r="AA3" s="47" t="s">
        <v>53</v>
      </c>
      <c r="AB3" s="47"/>
      <c r="AD3" s="47" t="s">
        <v>53</v>
      </c>
      <c r="AE3" s="47"/>
      <c r="AF3" s="47"/>
      <c r="AG3" s="47" t="s">
        <v>53</v>
      </c>
      <c r="AH3" s="35"/>
      <c r="AI3" s="35"/>
      <c r="AJ3" s="35"/>
      <c r="AK3" s="35"/>
    </row>
    <row r="4" spans="2:37" ht="19.5">
      <c r="B4" s="36" t="s">
        <v>72</v>
      </c>
      <c r="C4" s="37">
        <f>'2021 Budget lines'!D12</f>
        <v>54000</v>
      </c>
      <c r="D4" s="48">
        <f>C4</f>
        <v>54000</v>
      </c>
      <c r="E4" s="34"/>
      <c r="F4" s="37">
        <f>'2021 Budget lines'!F12</f>
        <v>54000</v>
      </c>
      <c r="G4" s="48">
        <f>F4</f>
        <v>54000</v>
      </c>
      <c r="H4" s="37">
        <f>'2021 Budget lines'!H12</f>
        <v>49500</v>
      </c>
      <c r="I4" s="48">
        <f>H4</f>
        <v>49500</v>
      </c>
      <c r="J4" s="34"/>
      <c r="K4" s="37">
        <f>'2021 Budget lines'!J12</f>
        <v>-200</v>
      </c>
      <c r="L4" s="48">
        <f>K4</f>
        <v>-200</v>
      </c>
      <c r="M4" s="34"/>
      <c r="N4" s="37">
        <f>'2021 Budget lines'!N12</f>
        <v>47588.22</v>
      </c>
      <c r="O4" s="48">
        <f>N4</f>
        <v>47588.22</v>
      </c>
      <c r="P4" s="34"/>
      <c r="Q4" s="37">
        <f>'2021 Budget lines'!P12</f>
        <v>50709.24</v>
      </c>
      <c r="R4" s="48">
        <f>Q4</f>
        <v>50709.24</v>
      </c>
      <c r="S4" s="48"/>
      <c r="T4" s="37">
        <f>'2021 Budget lines'!R12</f>
        <v>45759.87</v>
      </c>
      <c r="U4" s="48">
        <f>T4</f>
        <v>45759.87</v>
      </c>
      <c r="V4" s="34"/>
      <c r="W4" s="37">
        <f>'2021 Budget lines'!T12</f>
        <v>53651.91</v>
      </c>
      <c r="X4" s="48">
        <f>W4</f>
        <v>53651.91</v>
      </c>
      <c r="Y4" s="34"/>
      <c r="Z4" s="37">
        <f>'2021 Budget lines'!V12</f>
        <v>53715.49</v>
      </c>
      <c r="AA4" s="48">
        <f>Z4</f>
        <v>53715.49</v>
      </c>
      <c r="AB4" s="48"/>
      <c r="AC4" s="37">
        <f>'2021 Budget lines'!X12</f>
        <v>49986.17</v>
      </c>
      <c r="AD4" s="48">
        <f>AC4</f>
        <v>49986.17</v>
      </c>
      <c r="AE4" s="48"/>
      <c r="AF4" s="37" t="e">
        <f>'2021 Budget lines'!#REF!</f>
        <v>#REF!</v>
      </c>
      <c r="AG4" s="48" t="e">
        <f>AF4</f>
        <v>#REF!</v>
      </c>
      <c r="AH4" s="35"/>
      <c r="AI4" s="43"/>
      <c r="AJ4" s="35"/>
      <c r="AK4" s="35"/>
    </row>
    <row r="5" spans="1:37" ht="19.5">
      <c r="A5" s="33"/>
      <c r="B5" s="38" t="s">
        <v>117</v>
      </c>
      <c r="C5" s="37">
        <f>'2021 Budget lines'!D24</f>
        <v>11500</v>
      </c>
      <c r="D5" s="48">
        <f>C5</f>
        <v>11500</v>
      </c>
      <c r="E5" s="34"/>
      <c r="F5" s="37">
        <f>'2021 Budget lines'!F24</f>
        <v>11500</v>
      </c>
      <c r="G5" s="48">
        <f>F5</f>
        <v>11500</v>
      </c>
      <c r="H5" s="37">
        <f>'2021 Budget lines'!H24</f>
        <v>12150</v>
      </c>
      <c r="I5" s="48">
        <f>H5</f>
        <v>12150</v>
      </c>
      <c r="J5" s="34"/>
      <c r="K5" s="37">
        <f>'2021 Budget lines'!J24</f>
        <v>6454.21</v>
      </c>
      <c r="L5" s="48">
        <f>K5</f>
        <v>6454.21</v>
      </c>
      <c r="M5" s="34"/>
      <c r="N5" s="37">
        <f>'2021 Budget lines'!N24</f>
        <v>9516.140000000001</v>
      </c>
      <c r="O5" s="48">
        <f>N5</f>
        <v>9516.140000000001</v>
      </c>
      <c r="P5" s="34"/>
      <c r="Q5" s="37">
        <f>'2021 Budget lines'!P24</f>
        <v>10153.619999999999</v>
      </c>
      <c r="R5" s="48">
        <f>Q5</f>
        <v>10153.619999999999</v>
      </c>
      <c r="S5" s="48"/>
      <c r="T5" s="37">
        <f>'2021 Budget lines'!R24</f>
        <v>9144</v>
      </c>
      <c r="U5" s="48">
        <f>T5</f>
        <v>9144</v>
      </c>
      <c r="V5" s="34"/>
      <c r="W5" s="37">
        <f>'2021 Budget lines'!T24</f>
        <v>12124.779999999999</v>
      </c>
      <c r="X5" s="48">
        <f>W5</f>
        <v>12124.779999999999</v>
      </c>
      <c r="Y5" s="34"/>
      <c r="Z5" s="37">
        <f>'2021 Budget lines'!V24</f>
        <v>12975.699999999999</v>
      </c>
      <c r="AA5" s="48">
        <f>Z5</f>
        <v>12975.699999999999</v>
      </c>
      <c r="AB5" s="48"/>
      <c r="AC5" s="37">
        <f>'2021 Budget lines'!X24</f>
        <v>11599.720000000001</v>
      </c>
      <c r="AD5" s="48">
        <f>AC5</f>
        <v>11599.720000000001</v>
      </c>
      <c r="AE5" s="48"/>
      <c r="AF5" s="37" t="e">
        <f>'2021 Budget lines'!#REF!</f>
        <v>#REF!</v>
      </c>
      <c r="AG5" s="48" t="e">
        <f>AF5</f>
        <v>#REF!</v>
      </c>
      <c r="AH5" s="35"/>
      <c r="AI5" s="43"/>
      <c r="AJ5" s="35"/>
      <c r="AK5" s="35"/>
    </row>
    <row r="6" spans="2:37" ht="19.5">
      <c r="B6" s="54" t="s">
        <v>80</v>
      </c>
      <c r="C6" s="40"/>
      <c r="D6" s="49"/>
      <c r="E6" s="39"/>
      <c r="F6" s="40"/>
      <c r="G6" s="49"/>
      <c r="H6" s="40"/>
      <c r="I6" s="49"/>
      <c r="J6" s="39"/>
      <c r="K6" s="40"/>
      <c r="L6" s="49"/>
      <c r="M6" s="39"/>
      <c r="N6" s="40"/>
      <c r="O6" s="49"/>
      <c r="P6" s="39"/>
      <c r="Q6" s="40"/>
      <c r="R6" s="49"/>
      <c r="S6" s="49"/>
      <c r="T6" s="40"/>
      <c r="U6" s="49"/>
      <c r="V6" s="39"/>
      <c r="W6" s="40"/>
      <c r="X6" s="49"/>
      <c r="Y6" s="39"/>
      <c r="Z6" s="40"/>
      <c r="AA6" s="49"/>
      <c r="AB6" s="49"/>
      <c r="AC6" s="40"/>
      <c r="AD6" s="49"/>
      <c r="AE6" s="49"/>
      <c r="AF6" s="40"/>
      <c r="AG6" s="49"/>
      <c r="AH6" s="35"/>
      <c r="AI6" s="84"/>
      <c r="AJ6" s="35"/>
      <c r="AK6" s="35"/>
    </row>
    <row r="7" spans="2:37" ht="18.75">
      <c r="B7" s="42" t="s">
        <v>70</v>
      </c>
      <c r="C7" s="43">
        <f>'2021 Budget lines'!D26</f>
        <v>83000</v>
      </c>
      <c r="D7" s="50"/>
      <c r="E7" s="35"/>
      <c r="F7" s="43">
        <f>'2021 Budget lines'!F26</f>
        <v>83000</v>
      </c>
      <c r="G7" s="50"/>
      <c r="H7" s="43">
        <f>'2021 Budget lines'!H26</f>
        <v>83000</v>
      </c>
      <c r="I7" s="50"/>
      <c r="J7" s="35"/>
      <c r="K7" s="43">
        <f>'2021 Budget lines'!J26</f>
        <v>43269.44</v>
      </c>
      <c r="L7" s="50"/>
      <c r="M7" s="35"/>
      <c r="N7" s="43">
        <f>'2021 Budget lines'!N26</f>
        <v>53575.88</v>
      </c>
      <c r="O7" s="50"/>
      <c r="P7" s="35"/>
      <c r="Q7" s="43">
        <f>'2021 Budget lines'!P26</f>
        <v>51315.77</v>
      </c>
      <c r="R7" s="50"/>
      <c r="S7" s="50"/>
      <c r="T7" s="43">
        <f>'2021 Budget lines'!R26</f>
        <v>59390.68</v>
      </c>
      <c r="U7" s="50"/>
      <c r="V7" s="35"/>
      <c r="W7" s="43">
        <f>'2021 Budget lines'!T26</f>
        <v>100435.68</v>
      </c>
      <c r="X7" s="50"/>
      <c r="Y7" s="35"/>
      <c r="Z7" s="43">
        <f>'2021 Budget lines'!V26</f>
        <v>105707.66</v>
      </c>
      <c r="AA7" s="50"/>
      <c r="AB7" s="50"/>
      <c r="AC7" s="43">
        <f>'2021 Budget lines'!X26</f>
        <v>91206.27</v>
      </c>
      <c r="AD7" s="50"/>
      <c r="AE7" s="50"/>
      <c r="AF7" s="43" t="e">
        <f>'2021 Budget lines'!#REF!</f>
        <v>#REF!</v>
      </c>
      <c r="AG7" s="50"/>
      <c r="AH7" s="35"/>
      <c r="AI7" s="43"/>
      <c r="AJ7" s="35"/>
      <c r="AK7" s="86"/>
    </row>
    <row r="8" spans="2:37" ht="18.75">
      <c r="B8" s="44" t="s">
        <v>161</v>
      </c>
      <c r="C8" s="46">
        <v>2500</v>
      </c>
      <c r="D8" s="51">
        <f>SUM(C7:C8)</f>
        <v>85500</v>
      </c>
      <c r="E8" s="45"/>
      <c r="F8" s="46">
        <v>2500</v>
      </c>
      <c r="G8" s="51">
        <f>SUM(F7:F8)</f>
        <v>85500</v>
      </c>
      <c r="H8" s="46">
        <v>2000</v>
      </c>
      <c r="I8" s="51">
        <f>SUM(H7:H8)</f>
        <v>85000</v>
      </c>
      <c r="J8" s="45"/>
      <c r="K8" s="46">
        <v>0</v>
      </c>
      <c r="L8" s="51">
        <f>SUM(K7:K8)</f>
        <v>43269.44</v>
      </c>
      <c r="M8" s="45"/>
      <c r="N8" s="46">
        <v>2100</v>
      </c>
      <c r="O8" s="51">
        <f>SUM(N7:N8)</f>
        <v>55675.88</v>
      </c>
      <c r="P8" s="45"/>
      <c r="Q8" s="46">
        <v>1740</v>
      </c>
      <c r="R8" s="51">
        <f>SUM(Q7:Q8)</f>
        <v>53055.77</v>
      </c>
      <c r="S8" s="51"/>
      <c r="T8" s="46">
        <v>1575</v>
      </c>
      <c r="U8" s="51">
        <f>SUM(T7:T8)</f>
        <v>60965.68</v>
      </c>
      <c r="V8" s="45"/>
      <c r="W8" s="46">
        <v>1260</v>
      </c>
      <c r="X8" s="51">
        <f>SUM(W7:W8)</f>
        <v>101695.68</v>
      </c>
      <c r="Y8" s="45"/>
      <c r="Z8" s="46">
        <f>102066-97636</f>
        <v>4430</v>
      </c>
      <c r="AA8" s="51">
        <f>SUM(Z7:Z8)</f>
        <v>110137.66</v>
      </c>
      <c r="AB8" s="51"/>
      <c r="AC8" s="46">
        <v>1638</v>
      </c>
      <c r="AD8" s="51">
        <f>SUM(AC7:AC8)</f>
        <v>92844.27</v>
      </c>
      <c r="AE8" s="51"/>
      <c r="AF8" s="46">
        <v>1375</v>
      </c>
      <c r="AG8" s="51" t="e">
        <f>SUM(AF7:AF8)</f>
        <v>#REF!</v>
      </c>
      <c r="AH8" s="35"/>
      <c r="AI8" s="43"/>
      <c r="AJ8" s="35"/>
      <c r="AK8" s="87"/>
    </row>
    <row r="9" spans="2:37" ht="19.5">
      <c r="B9" s="36" t="s">
        <v>75</v>
      </c>
      <c r="C9" s="37">
        <f>'2021 Budget lines'!D34</f>
        <v>1200</v>
      </c>
      <c r="D9" s="48">
        <f>C9</f>
        <v>1200</v>
      </c>
      <c r="E9" s="34"/>
      <c r="F9" s="37">
        <f>'2021 Budget lines'!F34</f>
        <v>1200</v>
      </c>
      <c r="G9" s="48">
        <f>F9</f>
        <v>1200</v>
      </c>
      <c r="H9" s="37">
        <f>'2021 Budget lines'!H34</f>
        <v>-4500</v>
      </c>
      <c r="I9" s="48">
        <f>H9</f>
        <v>-4500</v>
      </c>
      <c r="J9" s="34"/>
      <c r="K9" s="37">
        <f>'2021 Budget lines'!J34</f>
        <v>-22713.18</v>
      </c>
      <c r="L9" s="48">
        <f>K9</f>
        <v>-22713.18</v>
      </c>
      <c r="M9" s="34"/>
      <c r="N9" s="37">
        <f>'2021 Budget lines'!N34</f>
        <v>-8537.080000000002</v>
      </c>
      <c r="O9" s="48">
        <f>N9</f>
        <v>-8537.080000000002</v>
      </c>
      <c r="P9" s="34"/>
      <c r="Q9" s="37">
        <f>'2021 Budget lines'!P34</f>
        <v>11513.15</v>
      </c>
      <c r="R9" s="48">
        <f>Q9</f>
        <v>11513.15</v>
      </c>
      <c r="S9" s="48"/>
      <c r="T9" s="37">
        <f>'2021 Budget lines'!R34</f>
        <v>-257.24</v>
      </c>
      <c r="U9" s="48">
        <f>T9</f>
        <v>-257.24</v>
      </c>
      <c r="V9" s="34"/>
      <c r="W9" s="37">
        <f>'2021 Budget lines'!T34</f>
        <v>-4469.47</v>
      </c>
      <c r="X9" s="48">
        <f>W9</f>
        <v>-4469.47</v>
      </c>
      <c r="Y9" s="34"/>
      <c r="Z9" s="37">
        <f>'2021 Budget lines'!V34</f>
        <v>22324.44</v>
      </c>
      <c r="AA9" s="48">
        <f>Z9</f>
        <v>22324.44</v>
      </c>
      <c r="AB9" s="48"/>
      <c r="AC9" s="37">
        <f>'2021 Budget lines'!X34</f>
        <v>5467.12</v>
      </c>
      <c r="AD9" s="48">
        <f>AC9</f>
        <v>5467.12</v>
      </c>
      <c r="AE9" s="48"/>
      <c r="AF9" s="37" t="e">
        <f>'2021 Budget lines'!#REF!</f>
        <v>#REF!</v>
      </c>
      <c r="AG9" s="48" t="e">
        <f>AF9</f>
        <v>#REF!</v>
      </c>
      <c r="AH9" s="35"/>
      <c r="AI9" s="43"/>
      <c r="AJ9" s="35"/>
      <c r="AK9" s="87"/>
    </row>
    <row r="10" spans="1:37" ht="19.5">
      <c r="A10" s="33"/>
      <c r="B10" s="55" t="s">
        <v>112</v>
      </c>
      <c r="C10" s="40"/>
      <c r="D10" s="49"/>
      <c r="E10" s="39"/>
      <c r="F10" s="40"/>
      <c r="G10" s="49"/>
      <c r="H10" s="40"/>
      <c r="I10" s="49"/>
      <c r="J10" s="39"/>
      <c r="K10" s="40"/>
      <c r="L10" s="49"/>
      <c r="M10" s="39"/>
      <c r="N10" s="40"/>
      <c r="O10" s="49"/>
      <c r="P10" s="39"/>
      <c r="Q10" s="40"/>
      <c r="R10" s="49"/>
      <c r="S10" s="49"/>
      <c r="T10" s="40"/>
      <c r="U10" s="49"/>
      <c r="V10" s="39"/>
      <c r="W10" s="40"/>
      <c r="X10" s="49"/>
      <c r="Y10" s="39"/>
      <c r="Z10" s="40"/>
      <c r="AA10" s="49"/>
      <c r="AB10" s="49"/>
      <c r="AC10" s="40"/>
      <c r="AD10" s="49"/>
      <c r="AE10" s="49"/>
      <c r="AF10" s="40"/>
      <c r="AG10" s="49"/>
      <c r="AH10" s="35"/>
      <c r="AI10" s="84"/>
      <c r="AJ10" s="35"/>
      <c r="AK10" s="87"/>
    </row>
    <row r="11" spans="1:37" ht="18.75">
      <c r="A11" s="33"/>
      <c r="B11" s="42" t="s">
        <v>48</v>
      </c>
      <c r="C11" s="43">
        <f>'2021 Budget lines'!D36</f>
        <v>57000</v>
      </c>
      <c r="D11" s="50"/>
      <c r="E11" s="35"/>
      <c r="F11" s="43">
        <f>'2021 Budget lines'!F36</f>
        <v>57000</v>
      </c>
      <c r="G11" s="50"/>
      <c r="H11" s="43">
        <f>'2021 Budget lines'!H36</f>
        <v>57000</v>
      </c>
      <c r="I11" s="50"/>
      <c r="J11" s="35"/>
      <c r="K11" s="43">
        <f>'2021 Budget lines'!J36</f>
        <v>42750</v>
      </c>
      <c r="L11" s="50"/>
      <c r="M11" s="35"/>
      <c r="N11" s="43">
        <f>'2021 Budget lines'!N36</f>
        <v>57000</v>
      </c>
      <c r="O11" s="50"/>
      <c r="P11" s="35"/>
      <c r="Q11" s="43">
        <f>'2021 Budget lines'!P36</f>
        <v>57000</v>
      </c>
      <c r="R11" s="50"/>
      <c r="S11" s="50"/>
      <c r="T11" s="43">
        <f>'2021 Budget lines'!R36</f>
        <v>57000</v>
      </c>
      <c r="U11" s="50"/>
      <c r="V11" s="35"/>
      <c r="W11" s="43">
        <f>'2021 Budget lines'!T36</f>
        <v>57000</v>
      </c>
      <c r="X11" s="50"/>
      <c r="Y11" s="35"/>
      <c r="Z11" s="43">
        <f>'2021 Budget lines'!V36</f>
        <v>57000</v>
      </c>
      <c r="AA11" s="50"/>
      <c r="AB11" s="50"/>
      <c r="AC11" s="43">
        <f>'2021 Budget lines'!X36</f>
        <v>57000</v>
      </c>
      <c r="AD11" s="50"/>
      <c r="AE11" s="50"/>
      <c r="AF11" s="43" t="e">
        <f>'2021 Budget lines'!#REF!</f>
        <v>#REF!</v>
      </c>
      <c r="AG11" s="50"/>
      <c r="AH11" s="35"/>
      <c r="AI11" s="43"/>
      <c r="AJ11" s="35"/>
      <c r="AK11" s="86"/>
    </row>
    <row r="12" spans="1:37" ht="18.75">
      <c r="A12" s="33"/>
      <c r="B12" s="42" t="s">
        <v>162</v>
      </c>
      <c r="C12" s="43">
        <f>'2021 Budget lines'!D37+'2021 Budget lines'!D38+'2021 Budget lines'!D39</f>
        <v>95134.305</v>
      </c>
      <c r="D12" s="50"/>
      <c r="E12" s="35"/>
      <c r="F12" s="43">
        <f>'2021 Budget lines'!F37+'2021 Budget lines'!F38+'2021 Budget lines'!F39</f>
        <v>94661.22240000001</v>
      </c>
      <c r="G12" s="50"/>
      <c r="H12" s="43">
        <f>'2021 Budget lines'!H37+'2021 Budget lines'!H38+'2021 Budget lines'!H39</f>
        <v>94661.22240000001</v>
      </c>
      <c r="I12" s="50"/>
      <c r="J12" s="35"/>
      <c r="K12" s="43">
        <f>'2021 Budget lines'!J37+'2021 Budget lines'!J38+'2021 Budget lines'!J39</f>
        <v>70995.69</v>
      </c>
      <c r="L12" s="50"/>
      <c r="M12" s="35"/>
      <c r="N12" s="43">
        <f>'2021 Budget lines'!N37+'2021 Budget lines'!N38+'2021 Budget lines'!N39</f>
        <v>89571.45000000001</v>
      </c>
      <c r="O12" s="50"/>
      <c r="P12" s="35"/>
      <c r="Q12" s="43">
        <f>'2021 Budget lines'!P37+'2021 Budget lines'!P38+'2021 Budget lines'!P39</f>
        <v>98344.70999999999</v>
      </c>
      <c r="R12" s="50"/>
      <c r="S12" s="50"/>
      <c r="T12" s="43">
        <f>'2021 Budget lines'!R37+'2021 Budget lines'!R38+'2021 Budget lines'!R39</f>
        <v>88441.92</v>
      </c>
      <c r="U12" s="50"/>
      <c r="V12" s="35"/>
      <c r="W12" s="43">
        <f>'2021 Budget lines'!T37+'2021 Budget lines'!T38+'2021 Budget lines'!T39</f>
        <v>91720.84</v>
      </c>
      <c r="X12" s="50"/>
      <c r="Y12" s="35"/>
      <c r="Z12" s="43">
        <f>'2021 Budget lines'!V37+'2021 Budget lines'!V38+'2021 Budget lines'!V39</f>
        <v>90296.04000000001</v>
      </c>
      <c r="AA12" s="50"/>
      <c r="AB12" s="50"/>
      <c r="AC12" s="43">
        <f>'2021 Budget lines'!X37+'2021 Budget lines'!X38+'2021 Budget lines'!X39</f>
        <v>88056.01</v>
      </c>
      <c r="AD12" s="50"/>
      <c r="AE12" s="50"/>
      <c r="AF12" s="43" t="e">
        <f>'2021 Budget lines'!#REF!+'2021 Budget lines'!#REF!+'2021 Budget lines'!#REF!</f>
        <v>#REF!</v>
      </c>
      <c r="AG12" s="50"/>
      <c r="AH12" s="35"/>
      <c r="AI12" s="43"/>
      <c r="AJ12" s="35"/>
      <c r="AK12" s="87"/>
    </row>
    <row r="13" spans="1:37" ht="18.75">
      <c r="A13" s="33"/>
      <c r="B13" s="44" t="s">
        <v>161</v>
      </c>
      <c r="C13" s="46">
        <v>0</v>
      </c>
      <c r="D13" s="51">
        <f>SUM(C11:C13)</f>
        <v>152134.305</v>
      </c>
      <c r="E13" s="45"/>
      <c r="F13" s="46">
        <v>0</v>
      </c>
      <c r="G13" s="51">
        <f>SUM(F11:F13)</f>
        <v>151661.22240000003</v>
      </c>
      <c r="H13" s="46">
        <v>0</v>
      </c>
      <c r="I13" s="51">
        <f>SUM(H11:H13)</f>
        <v>151661.22240000003</v>
      </c>
      <c r="J13" s="45"/>
      <c r="K13" s="46">
        <v>0</v>
      </c>
      <c r="L13" s="51">
        <f>SUM(K11:K13)</f>
        <v>113745.69</v>
      </c>
      <c r="M13" s="45"/>
      <c r="N13" s="46">
        <v>0</v>
      </c>
      <c r="O13" s="51">
        <f>SUM(N11:N13)</f>
        <v>146571.45</v>
      </c>
      <c r="P13" s="45"/>
      <c r="Q13" s="46">
        <v>0</v>
      </c>
      <c r="R13" s="51">
        <f>SUM(Q11:Q13)</f>
        <v>155344.71</v>
      </c>
      <c r="S13" s="51"/>
      <c r="T13" s="46">
        <v>0</v>
      </c>
      <c r="U13" s="51">
        <f>SUM(T11:T13)</f>
        <v>145441.91999999998</v>
      </c>
      <c r="V13" s="45"/>
      <c r="W13" s="46">
        <v>0</v>
      </c>
      <c r="X13" s="51">
        <f>SUM(W11:W13)</f>
        <v>148720.84</v>
      </c>
      <c r="Y13" s="45"/>
      <c r="Z13" s="46">
        <v>0</v>
      </c>
      <c r="AA13" s="51">
        <f>SUM(Z11:Z13)</f>
        <v>147296.04</v>
      </c>
      <c r="AB13" s="51"/>
      <c r="AC13" s="46">
        <v>0</v>
      </c>
      <c r="AD13" s="51">
        <f>SUM(AC11:AC13)</f>
        <v>145056.01</v>
      </c>
      <c r="AE13" s="51"/>
      <c r="AF13" s="46">
        <v>0</v>
      </c>
      <c r="AG13" s="51" t="e">
        <f>SUM(AF11:AF13)</f>
        <v>#REF!</v>
      </c>
      <c r="AH13" s="35"/>
      <c r="AI13" s="43"/>
      <c r="AJ13" s="35"/>
      <c r="AK13" s="86"/>
    </row>
    <row r="14" spans="2:37" ht="19.5">
      <c r="B14" s="54" t="s">
        <v>76</v>
      </c>
      <c r="C14" s="40"/>
      <c r="D14" s="73"/>
      <c r="E14" s="39"/>
      <c r="F14" s="40"/>
      <c r="G14" s="73"/>
      <c r="H14" s="40"/>
      <c r="I14" s="73"/>
      <c r="J14" s="39"/>
      <c r="K14" s="40"/>
      <c r="L14" s="73"/>
      <c r="M14" s="39"/>
      <c r="N14" s="40"/>
      <c r="O14" s="73"/>
      <c r="P14" s="39"/>
      <c r="Q14" s="40"/>
      <c r="R14" s="73"/>
      <c r="S14" s="73"/>
      <c r="T14" s="40"/>
      <c r="U14" s="73"/>
      <c r="V14" s="39"/>
      <c r="W14" s="40"/>
      <c r="X14" s="73"/>
      <c r="Y14" s="39"/>
      <c r="Z14" s="40"/>
      <c r="AA14" s="73"/>
      <c r="AB14" s="73"/>
      <c r="AC14" s="40"/>
      <c r="AD14" s="73"/>
      <c r="AE14" s="73"/>
      <c r="AF14" s="40"/>
      <c r="AG14" s="73"/>
      <c r="AH14" s="35"/>
      <c r="AI14" s="43"/>
      <c r="AJ14" s="35"/>
      <c r="AK14" s="87"/>
    </row>
    <row r="15" spans="2:37" ht="19.5">
      <c r="B15" s="74" t="s">
        <v>169</v>
      </c>
      <c r="C15" s="43">
        <f>'2021 Budget lines'!D43</f>
        <v>785000</v>
      </c>
      <c r="D15" s="59"/>
      <c r="E15" s="35"/>
      <c r="F15" s="43">
        <f>'2021 Budget lines'!F43</f>
        <v>785000</v>
      </c>
      <c r="G15" s="59"/>
      <c r="H15" s="43">
        <f>'2021 Budget lines'!H43</f>
        <v>785000</v>
      </c>
      <c r="I15" s="59"/>
      <c r="J15" s="35"/>
      <c r="K15" s="43">
        <f>'2021 Budget lines'!J43</f>
        <v>588753</v>
      </c>
      <c r="L15" s="59"/>
      <c r="M15" s="35"/>
      <c r="N15" s="43">
        <f>'2021 Budget lines'!N43</f>
        <v>780000</v>
      </c>
      <c r="O15" s="59"/>
      <c r="P15" s="35"/>
      <c r="Q15" s="43">
        <f>'2021 Budget lines'!P43</f>
        <v>774999.96</v>
      </c>
      <c r="R15" s="59"/>
      <c r="S15" s="59"/>
      <c r="T15" s="43">
        <f>'2021 Budget lines'!R43</f>
        <v>755000.04</v>
      </c>
      <c r="U15" s="59"/>
      <c r="V15" s="35"/>
      <c r="W15" s="43">
        <f>'2021 Budget lines'!T43</f>
        <v>755000.04</v>
      </c>
      <c r="X15" s="59"/>
      <c r="Y15" s="35"/>
      <c r="Z15" s="43">
        <f>'2021 Budget lines'!V43</f>
        <v>755000.04</v>
      </c>
      <c r="AA15" s="59"/>
      <c r="AB15" s="59"/>
      <c r="AC15" s="43">
        <f>'2021 Budget lines'!X43</f>
        <v>755003</v>
      </c>
      <c r="AD15" s="59"/>
      <c r="AE15" s="59"/>
      <c r="AF15" s="43" t="e">
        <f>'2021 Budget lines'!#REF!</f>
        <v>#REF!</v>
      </c>
      <c r="AG15" s="59"/>
      <c r="AH15" s="35"/>
      <c r="AI15" s="43"/>
      <c r="AJ15" s="35"/>
      <c r="AK15" s="86"/>
    </row>
    <row r="16" spans="2:37" ht="19.5">
      <c r="B16" s="74" t="s">
        <v>170</v>
      </c>
      <c r="C16" s="43">
        <f>'2021 Budget lines'!D44</f>
        <v>27000</v>
      </c>
      <c r="D16" s="59"/>
      <c r="E16" s="35"/>
      <c r="F16" s="43">
        <f>'2021 Budget lines'!F44</f>
        <v>27000</v>
      </c>
      <c r="G16" s="59"/>
      <c r="H16" s="43">
        <f>'2021 Budget lines'!H44</f>
        <v>31250</v>
      </c>
      <c r="I16" s="59"/>
      <c r="J16" s="35"/>
      <c r="K16" s="43">
        <f>'2021 Budget lines'!J44</f>
        <v>31250</v>
      </c>
      <c r="L16" s="59"/>
      <c r="M16" s="35"/>
      <c r="N16" s="43">
        <f>'2021 Budget lines'!N44</f>
        <v>29900</v>
      </c>
      <c r="O16" s="59"/>
      <c r="P16" s="35"/>
      <c r="Q16" s="43">
        <f>'2021 Budget lines'!P44</f>
        <v>26000</v>
      </c>
      <c r="R16" s="59"/>
      <c r="S16" s="59"/>
      <c r="T16" s="43">
        <f>'2021 Budget lines'!R44</f>
        <v>26000</v>
      </c>
      <c r="U16" s="59"/>
      <c r="V16" s="35"/>
      <c r="W16" s="43">
        <f>'2021 Budget lines'!T44</f>
        <v>28000</v>
      </c>
      <c r="X16" s="59"/>
      <c r="Y16" s="35"/>
      <c r="Z16" s="43">
        <f>'2021 Budget lines'!V44</f>
        <v>26000</v>
      </c>
      <c r="AA16" s="59"/>
      <c r="AB16" s="59"/>
      <c r="AC16" s="43">
        <f>'2021 Budget lines'!X44</f>
        <v>26000</v>
      </c>
      <c r="AD16" s="59"/>
      <c r="AE16" s="59"/>
      <c r="AF16" s="43" t="e">
        <f>'2021 Budget lines'!#REF!</f>
        <v>#REF!</v>
      </c>
      <c r="AG16" s="59"/>
      <c r="AH16" s="35"/>
      <c r="AI16" s="43"/>
      <c r="AJ16" s="35"/>
      <c r="AK16" s="87"/>
    </row>
    <row r="17" spans="2:37" ht="18.75">
      <c r="B17" s="44" t="s">
        <v>161</v>
      </c>
      <c r="C17" s="43">
        <v>20000</v>
      </c>
      <c r="D17" s="59">
        <f>SUM(C15:C17)</f>
        <v>832000</v>
      </c>
      <c r="E17" s="35"/>
      <c r="F17" s="43">
        <v>20000</v>
      </c>
      <c r="G17" s="59">
        <f>SUM(F15:F17)</f>
        <v>832000</v>
      </c>
      <c r="H17" s="43">
        <v>18100</v>
      </c>
      <c r="I17" s="59">
        <f>SUM(H15:H17)</f>
        <v>834350</v>
      </c>
      <c r="J17" s="35"/>
      <c r="K17" s="43">
        <v>371</v>
      </c>
      <c r="L17" s="59">
        <f>SUM(K15:K17)</f>
        <v>620374</v>
      </c>
      <c r="M17" s="35"/>
      <c r="N17" s="43">
        <f>832899-809900</f>
        <v>22999</v>
      </c>
      <c r="O17" s="59">
        <f>SUM(N15:N17)</f>
        <v>832899</v>
      </c>
      <c r="P17" s="35"/>
      <c r="Q17" s="43">
        <v>28226</v>
      </c>
      <c r="R17" s="59">
        <f>SUM(Q15:Q17)</f>
        <v>829225.96</v>
      </c>
      <c r="S17" s="59"/>
      <c r="T17" s="43">
        <v>23268</v>
      </c>
      <c r="U17" s="59">
        <f>SUM(T15:T17)</f>
        <v>804268.04</v>
      </c>
      <c r="V17" s="35"/>
      <c r="W17" s="43">
        <v>26481</v>
      </c>
      <c r="X17" s="59">
        <f>SUM(W15:W17)</f>
        <v>809481.04</v>
      </c>
      <c r="Y17" s="35"/>
      <c r="Z17" s="43">
        <v>23194</v>
      </c>
      <c r="AA17" s="59">
        <f>SUM(Z15:Z17)</f>
        <v>804194.04</v>
      </c>
      <c r="AB17" s="59"/>
      <c r="AC17" s="43">
        <v>33573</v>
      </c>
      <c r="AD17" s="59">
        <f>SUM(AC15:AC17)</f>
        <v>814576</v>
      </c>
      <c r="AE17" s="59"/>
      <c r="AF17" s="43">
        <v>24044</v>
      </c>
      <c r="AG17" s="59" t="e">
        <f>SUM(AF15:AF17)</f>
        <v>#REF!</v>
      </c>
      <c r="AH17" s="35"/>
      <c r="AI17" s="43"/>
      <c r="AJ17" s="35"/>
      <c r="AK17" s="86"/>
    </row>
    <row r="18" spans="2:37" ht="19.5">
      <c r="B18" s="54" t="s">
        <v>89</v>
      </c>
      <c r="C18" s="40"/>
      <c r="D18" s="41"/>
      <c r="E18" s="39"/>
      <c r="F18" s="40"/>
      <c r="G18" s="41"/>
      <c r="H18" s="40"/>
      <c r="I18" s="41"/>
      <c r="J18" s="39"/>
      <c r="K18" s="40"/>
      <c r="L18" s="41"/>
      <c r="M18" s="39"/>
      <c r="N18" s="40"/>
      <c r="O18" s="41"/>
      <c r="P18" s="39"/>
      <c r="Q18" s="40"/>
      <c r="R18" s="41"/>
      <c r="S18" s="41"/>
      <c r="T18" s="40"/>
      <c r="U18" s="41"/>
      <c r="V18" s="39"/>
      <c r="W18" s="40"/>
      <c r="X18" s="41"/>
      <c r="Y18" s="39"/>
      <c r="Z18" s="40"/>
      <c r="AA18" s="41"/>
      <c r="AB18" s="41"/>
      <c r="AC18" s="40"/>
      <c r="AD18" s="41"/>
      <c r="AE18" s="41"/>
      <c r="AF18" s="40"/>
      <c r="AG18" s="41"/>
      <c r="AH18" s="35"/>
      <c r="AI18" s="84"/>
      <c r="AJ18" s="35"/>
      <c r="AK18" s="87"/>
    </row>
    <row r="19" spans="2:37" ht="18.75">
      <c r="B19" s="53" t="s">
        <v>103</v>
      </c>
      <c r="C19" s="43">
        <f>'2021 Budget lines'!D55</f>
        <v>32000</v>
      </c>
      <c r="D19" s="50"/>
      <c r="E19" s="35"/>
      <c r="F19" s="43">
        <f>'2021 Budget lines'!F55</f>
        <v>32000</v>
      </c>
      <c r="G19" s="50"/>
      <c r="H19" s="43">
        <f>'2021 Budget lines'!H55</f>
        <v>32000</v>
      </c>
      <c r="I19" s="50"/>
      <c r="J19" s="35"/>
      <c r="K19" s="43">
        <f>'2021 Budget lines'!J55</f>
        <v>0</v>
      </c>
      <c r="L19" s="50"/>
      <c r="M19" s="35"/>
      <c r="N19" s="43">
        <f>'2021 Budget lines'!N55</f>
        <v>32004.2</v>
      </c>
      <c r="O19" s="50"/>
      <c r="P19" s="35"/>
      <c r="Q19" s="43">
        <f>'2021 Budget lines'!P55</f>
        <v>34563.69</v>
      </c>
      <c r="R19" s="50"/>
      <c r="S19" s="50"/>
      <c r="T19" s="43">
        <f>'2021 Budget lines'!R55</f>
        <v>32133.67</v>
      </c>
      <c r="U19" s="50"/>
      <c r="V19" s="35"/>
      <c r="W19" s="43">
        <f>'2021 Budget lines'!T55</f>
        <v>36561.9</v>
      </c>
      <c r="X19" s="50"/>
      <c r="Y19" s="35"/>
      <c r="Z19" s="43">
        <f>'2021 Budget lines'!V55</f>
        <v>32066.41</v>
      </c>
      <c r="AA19" s="50"/>
      <c r="AB19" s="50"/>
      <c r="AC19" s="43">
        <f>'2021 Budget lines'!X55</f>
        <v>32067.89</v>
      </c>
      <c r="AD19" s="50"/>
      <c r="AE19" s="50"/>
      <c r="AF19" s="43" t="e">
        <f>'2021 Budget lines'!#REF!</f>
        <v>#REF!</v>
      </c>
      <c r="AG19" s="50"/>
      <c r="AH19" s="35"/>
      <c r="AI19" s="43"/>
      <c r="AJ19" s="35"/>
      <c r="AK19" s="87"/>
    </row>
    <row r="20" spans="2:37" ht="18.75">
      <c r="B20" s="42" t="s">
        <v>151</v>
      </c>
      <c r="C20" s="43">
        <f>'2021 Budget lines'!D58</f>
        <v>8000</v>
      </c>
      <c r="D20" s="50"/>
      <c r="E20" s="35"/>
      <c r="F20" s="43">
        <f>'2021 Budget lines'!F58</f>
        <v>8000</v>
      </c>
      <c r="G20" s="50"/>
      <c r="H20" s="43">
        <f>'2021 Budget lines'!H58</f>
        <v>3000</v>
      </c>
      <c r="I20" s="50"/>
      <c r="J20" s="35"/>
      <c r="K20" s="43">
        <f>'2021 Budget lines'!J58</f>
        <v>2094.59</v>
      </c>
      <c r="L20" s="50"/>
      <c r="M20" s="35"/>
      <c r="N20" s="43">
        <f>'2021 Budget lines'!N58</f>
        <v>8513.36</v>
      </c>
      <c r="O20" s="50"/>
      <c r="P20" s="35"/>
      <c r="Q20" s="43">
        <f>'2021 Budget lines'!P58</f>
        <v>7246.04</v>
      </c>
      <c r="R20" s="50"/>
      <c r="S20" s="50"/>
      <c r="T20" s="43">
        <f>'2021 Budget lines'!R58</f>
        <v>7795.05</v>
      </c>
      <c r="U20" s="50"/>
      <c r="V20" s="35"/>
      <c r="W20" s="43">
        <f>'2021 Budget lines'!T58</f>
        <v>8747.21</v>
      </c>
      <c r="X20" s="50"/>
      <c r="Y20" s="35"/>
      <c r="Z20" s="43">
        <f>'2021 Budget lines'!V58</f>
        <v>9084.49</v>
      </c>
      <c r="AA20" s="50"/>
      <c r="AB20" s="50"/>
      <c r="AC20" s="43">
        <f>'2021 Budget lines'!X58</f>
        <v>9826.44</v>
      </c>
      <c r="AD20" s="50"/>
      <c r="AE20" s="50"/>
      <c r="AF20" s="43" t="e">
        <f>'2021 Budget lines'!#REF!</f>
        <v>#REF!</v>
      </c>
      <c r="AG20" s="50"/>
      <c r="AH20" s="35"/>
      <c r="AI20" s="43"/>
      <c r="AJ20" s="35"/>
      <c r="AK20" s="86"/>
    </row>
    <row r="21" spans="2:37" ht="18.75">
      <c r="B21" s="42" t="s">
        <v>92</v>
      </c>
      <c r="C21" s="43">
        <f>'2021 Budget lines'!D65</f>
        <v>262446</v>
      </c>
      <c r="D21" s="50"/>
      <c r="E21" s="35"/>
      <c r="F21" s="43">
        <f>'2021 Budget lines'!F65</f>
        <v>272741</v>
      </c>
      <c r="G21" s="50"/>
      <c r="H21" s="43">
        <f>'2021 Budget lines'!H65</f>
        <v>272741</v>
      </c>
      <c r="I21" s="50"/>
      <c r="J21" s="35"/>
      <c r="K21" s="43">
        <f>'2021 Budget lines'!J65</f>
        <v>0</v>
      </c>
      <c r="L21" s="50"/>
      <c r="M21" s="35"/>
      <c r="N21" s="43">
        <f>'2021 Budget lines'!N65</f>
        <v>283906</v>
      </c>
      <c r="O21" s="50"/>
      <c r="P21" s="35"/>
      <c r="Q21" s="43">
        <f>'2021 Budget lines'!P65</f>
        <v>0</v>
      </c>
      <c r="R21" s="50"/>
      <c r="S21" s="50"/>
      <c r="T21" s="43">
        <f>'2021 Budget lines'!R65</f>
        <v>0</v>
      </c>
      <c r="U21" s="50"/>
      <c r="V21" s="35"/>
      <c r="W21" s="43">
        <f>'2021 Budget lines'!T65</f>
        <v>276232</v>
      </c>
      <c r="X21" s="50"/>
      <c r="Y21" s="35"/>
      <c r="Z21" s="43">
        <f>'2021 Budget lines'!V65</f>
        <v>283074.62</v>
      </c>
      <c r="AA21" s="50"/>
      <c r="AB21" s="50"/>
      <c r="AC21" s="43">
        <f>'2021 Budget lines'!X65</f>
        <v>283940</v>
      </c>
      <c r="AD21" s="50"/>
      <c r="AE21" s="50"/>
      <c r="AF21" s="43" t="e">
        <f>'2021 Budget lines'!#REF!</f>
        <v>#REF!</v>
      </c>
      <c r="AG21" s="50"/>
      <c r="AH21" s="35"/>
      <c r="AI21" s="43"/>
      <c r="AJ21" s="35"/>
      <c r="AK21" s="86"/>
    </row>
    <row r="22" spans="2:37" ht="18.75">
      <c r="B22" s="42" t="s">
        <v>91</v>
      </c>
      <c r="C22" s="43">
        <f>'2021 Budget lines'!D66</f>
        <v>262446</v>
      </c>
      <c r="D22" s="50"/>
      <c r="E22" s="35"/>
      <c r="F22" s="43">
        <f>'2021 Budget lines'!F66</f>
        <v>272741</v>
      </c>
      <c r="G22" s="50"/>
      <c r="H22" s="43">
        <f>'2021 Budget lines'!H66</f>
        <v>272741</v>
      </c>
      <c r="I22" s="50"/>
      <c r="J22" s="35"/>
      <c r="K22" s="43">
        <f>'2021 Budget lines'!J66</f>
        <v>0</v>
      </c>
      <c r="L22" s="50"/>
      <c r="M22" s="35"/>
      <c r="N22" s="43">
        <f>'2021 Budget lines'!N66</f>
        <v>283906</v>
      </c>
      <c r="O22" s="50"/>
      <c r="P22" s="35"/>
      <c r="Q22" s="43">
        <f>'2021 Budget lines'!P66</f>
        <v>283190</v>
      </c>
      <c r="R22" s="50"/>
      <c r="S22" s="50"/>
      <c r="T22" s="43">
        <f>'2021 Budget lines'!R66</f>
        <v>273820</v>
      </c>
      <c r="U22" s="50"/>
      <c r="V22" s="35"/>
      <c r="W22" s="43">
        <f>'2021 Budget lines'!T66</f>
        <v>276232</v>
      </c>
      <c r="X22" s="50"/>
      <c r="Y22" s="35"/>
      <c r="Z22" s="43">
        <f>'2021 Budget lines'!V66</f>
        <v>283074.62</v>
      </c>
      <c r="AA22" s="50"/>
      <c r="AB22" s="50"/>
      <c r="AC22" s="43">
        <f>'2021 Budget lines'!X66</f>
        <v>283940</v>
      </c>
      <c r="AD22" s="50"/>
      <c r="AE22" s="50"/>
      <c r="AF22" s="43" t="e">
        <f>'2021 Budget lines'!#REF!</f>
        <v>#REF!</v>
      </c>
      <c r="AG22" s="50"/>
      <c r="AH22" s="35"/>
      <c r="AI22" s="43"/>
      <c r="AJ22" s="35"/>
      <c r="AK22" s="86"/>
    </row>
    <row r="23" spans="2:37" ht="18.75">
      <c r="B23" s="42" t="s">
        <v>90</v>
      </c>
      <c r="C23" s="43">
        <f>'2021 Budget lines'!D67</f>
        <v>-212446</v>
      </c>
      <c r="D23" s="50"/>
      <c r="E23" s="35"/>
      <c r="F23" s="43">
        <f>'2021 Budget lines'!F67</f>
        <v>-222741</v>
      </c>
      <c r="G23" s="50"/>
      <c r="H23" s="43">
        <f>'2021 Budget lines'!H67</f>
        <v>-222741</v>
      </c>
      <c r="I23" s="50"/>
      <c r="J23" s="35"/>
      <c r="K23" s="43">
        <f>'2021 Budget lines'!J67</f>
        <v>0</v>
      </c>
      <c r="L23" s="50"/>
      <c r="M23" s="35"/>
      <c r="N23" s="43">
        <f>'2021 Budget lines'!N67</f>
        <v>-233906</v>
      </c>
      <c r="O23" s="50"/>
      <c r="P23" s="35"/>
      <c r="Q23" s="43">
        <f>'2021 Budget lines'!P67</f>
        <v>-233190</v>
      </c>
      <c r="R23" s="50"/>
      <c r="S23" s="50"/>
      <c r="T23" s="43">
        <f>'2021 Budget lines'!R67</f>
        <v>-223820</v>
      </c>
      <c r="U23" s="50"/>
      <c r="V23" s="35"/>
      <c r="W23" s="43">
        <f>'2021 Budget lines'!T67</f>
        <v>-226232</v>
      </c>
      <c r="X23" s="50"/>
      <c r="Y23" s="35"/>
      <c r="Z23" s="43">
        <f>'2021 Budget lines'!V67</f>
        <v>-233074.62</v>
      </c>
      <c r="AA23" s="50"/>
      <c r="AB23" s="50"/>
      <c r="AC23" s="43">
        <f>'2021 Budget lines'!X67</f>
        <v>-223940</v>
      </c>
      <c r="AD23" s="50"/>
      <c r="AE23" s="50"/>
      <c r="AF23" s="43" t="e">
        <f>'2021 Budget lines'!#REF!</f>
        <v>#REF!</v>
      </c>
      <c r="AG23" s="50"/>
      <c r="AH23" s="35"/>
      <c r="AI23" s="43"/>
      <c r="AJ23" s="35"/>
      <c r="AK23" s="86"/>
    </row>
    <row r="24" spans="2:37" ht="18.75">
      <c r="B24" s="42" t="s">
        <v>171</v>
      </c>
      <c r="C24" s="43">
        <f>'2021 Budget lines'!D68+'2021 Budget lines'!D69+'2021 Budget lines'!D70+'2021 Budget lines'!D71+'2021 Budget lines'!D72+'2021 Budget lines'!D73</f>
        <v>553986</v>
      </c>
      <c r="D24" s="50"/>
      <c r="E24" s="35"/>
      <c r="F24" s="43">
        <f>'2021 Budget lines'!F68+'2021 Budget lines'!F69+'2021 Budget lines'!F70+'2021 Budget lines'!F71+'2021 Budget lines'!F72+'2021 Budget lines'!F73</f>
        <v>544670</v>
      </c>
      <c r="G24" s="50"/>
      <c r="H24" s="43">
        <f>'2021 Budget lines'!H68+'2021 Budget lines'!H69+'2021 Budget lines'!H70+'2021 Budget lines'!H71+'2021 Budget lines'!H72+'2021 Budget lines'!H73</f>
        <v>488005</v>
      </c>
      <c r="I24" s="50"/>
      <c r="J24" s="35"/>
      <c r="K24" s="43">
        <f>'2021 Budget lines'!J68+'2021 Budget lines'!J69+'2021 Budget lines'!J70+'2021 Budget lines'!J71+'2021 Budget lines'!J72+'2021 Budget lines'!J73</f>
        <v>382640.98</v>
      </c>
      <c r="L24" s="50"/>
      <c r="M24" s="35"/>
      <c r="N24" s="43">
        <f>'2021 Budget lines'!N68+'2021 Budget lines'!N69+'2021 Budget lines'!N70+'2021 Budget lines'!N71+'2021 Budget lines'!N72+'2021 Budget lines'!N73</f>
        <v>548693.81</v>
      </c>
      <c r="O24" s="50"/>
      <c r="P24" s="35"/>
      <c r="Q24" s="43">
        <f>'2021 Budget lines'!P68+'2021 Budget lines'!P69+'2021 Budget lines'!P70+'2021 Budget lines'!P71+'2021 Budget lines'!P72+'2021 Budget lines'!P73</f>
        <v>523748.95</v>
      </c>
      <c r="R24" s="50"/>
      <c r="S24" s="50"/>
      <c r="T24" s="43">
        <f>'2021 Budget lines'!R68+'2021 Budget lines'!R69+'2021 Budget lines'!R70+'2021 Budget lines'!R71+'2021 Budget lines'!R72+'2021 Budget lines'!R73</f>
        <v>537163.48</v>
      </c>
      <c r="U24" s="50"/>
      <c r="V24" s="35"/>
      <c r="W24" s="43">
        <f>'2021 Budget lines'!T68+'2021 Budget lines'!T69+'2021 Budget lines'!T70+'2021 Budget lines'!T71+'2021 Budget lines'!T72+'2021 Budget lines'!T73</f>
        <v>501502.72</v>
      </c>
      <c r="X24" s="50"/>
      <c r="Y24" s="35"/>
      <c r="Z24" s="43">
        <f>'2021 Budget lines'!V68+'2021 Budget lines'!V69+'2021 Budget lines'!V70+'2021 Budget lines'!V71+'2021 Budget lines'!V72+'2021 Budget lines'!V73</f>
        <v>425240.19999999995</v>
      </c>
      <c r="AA24" s="50"/>
      <c r="AB24" s="50"/>
      <c r="AC24" s="43">
        <f>'2021 Budget lines'!X68+'2021 Budget lines'!X69+'2021 Budget lines'!X70+'2021 Budget lines'!X71+'2021 Budget lines'!X72+'2021 Budget lines'!X73</f>
        <v>440408.89999999997</v>
      </c>
      <c r="AD24" s="50"/>
      <c r="AE24" s="50"/>
      <c r="AF24" s="43" t="e">
        <f>'2021 Budget lines'!#REF!+'2021 Budget lines'!#REF!+'2021 Budget lines'!#REF!+'2021 Budget lines'!#REF!+'2021 Budget lines'!#REF!+'2021 Budget lines'!#REF!</f>
        <v>#REF!</v>
      </c>
      <c r="AG24" s="50"/>
      <c r="AH24" s="35"/>
      <c r="AI24" s="43"/>
      <c r="AJ24" s="35"/>
      <c r="AK24" s="86"/>
    </row>
    <row r="25" spans="2:37" ht="18.75">
      <c r="B25" s="44" t="s">
        <v>161</v>
      </c>
      <c r="C25" s="46">
        <v>37000</v>
      </c>
      <c r="D25" s="51">
        <f>SUM(C19:C25)</f>
        <v>943432</v>
      </c>
      <c r="E25" s="45"/>
      <c r="F25" s="46">
        <v>34525</v>
      </c>
      <c r="G25" s="51">
        <f>SUM(F19:F25)</f>
        <v>941936</v>
      </c>
      <c r="H25" s="46">
        <v>46225</v>
      </c>
      <c r="I25" s="51">
        <f>SUM(H19:H25)</f>
        <v>891971</v>
      </c>
      <c r="J25" s="45"/>
      <c r="K25" s="46">
        <f>406048-384736</f>
        <v>21312</v>
      </c>
      <c r="L25" s="51">
        <f>SUM(K19:K25)</f>
        <v>406047.57</v>
      </c>
      <c r="M25" s="45"/>
      <c r="N25" s="46">
        <f>956513-923117</f>
        <v>33396</v>
      </c>
      <c r="O25" s="51">
        <f>SUM(N19:N25)</f>
        <v>956513.3700000001</v>
      </c>
      <c r="P25" s="45"/>
      <c r="Q25" s="46">
        <v>41409</v>
      </c>
      <c r="R25" s="51">
        <f>SUM(Q19:Q25)</f>
        <v>656967.6799999999</v>
      </c>
      <c r="S25" s="51"/>
      <c r="T25" s="46">
        <v>29586</v>
      </c>
      <c r="U25" s="51">
        <f>SUM(T19:T25)</f>
        <v>656678.2</v>
      </c>
      <c r="V25" s="45"/>
      <c r="W25" s="46">
        <v>38263</v>
      </c>
      <c r="X25" s="51">
        <f>SUM(W19:W25)</f>
        <v>911306.83</v>
      </c>
      <c r="Y25" s="45"/>
      <c r="Z25" s="46">
        <v>51818</v>
      </c>
      <c r="AA25" s="51">
        <f>SUM(Z19:Z25)</f>
        <v>851283.72</v>
      </c>
      <c r="AB25" s="51"/>
      <c r="AC25" s="46">
        <v>31236</v>
      </c>
      <c r="AD25" s="51">
        <f>SUM(AC19:AC25)</f>
        <v>857479.23</v>
      </c>
      <c r="AE25" s="51"/>
      <c r="AF25" s="46">
        <v>26221</v>
      </c>
      <c r="AG25" s="51" t="e">
        <f>SUM(AF19:AF25)</f>
        <v>#REF!</v>
      </c>
      <c r="AH25" s="35"/>
      <c r="AI25" s="43"/>
      <c r="AJ25" s="35"/>
      <c r="AK25" s="87"/>
    </row>
    <row r="26" spans="2:37" ht="19.5">
      <c r="B26" s="57" t="s">
        <v>86</v>
      </c>
      <c r="C26" s="40"/>
      <c r="D26" s="49"/>
      <c r="E26" s="39"/>
      <c r="F26" s="40"/>
      <c r="G26" s="49"/>
      <c r="H26" s="40"/>
      <c r="I26" s="49"/>
      <c r="J26" s="39"/>
      <c r="K26" s="40"/>
      <c r="L26" s="49"/>
      <c r="M26" s="39"/>
      <c r="N26" s="40"/>
      <c r="O26" s="49"/>
      <c r="P26" s="39"/>
      <c r="Q26" s="40"/>
      <c r="R26" s="49"/>
      <c r="S26" s="49"/>
      <c r="T26" s="40"/>
      <c r="U26" s="49"/>
      <c r="V26" s="39"/>
      <c r="W26" s="40"/>
      <c r="X26" s="49"/>
      <c r="Y26" s="39"/>
      <c r="Z26" s="40"/>
      <c r="AA26" s="49"/>
      <c r="AB26" s="49"/>
      <c r="AC26" s="40"/>
      <c r="AD26" s="49"/>
      <c r="AE26" s="49"/>
      <c r="AF26" s="40"/>
      <c r="AG26" s="49"/>
      <c r="AH26" s="35"/>
      <c r="AI26" s="84"/>
      <c r="AJ26" s="35"/>
      <c r="AK26" s="35"/>
    </row>
    <row r="27" spans="2:37" ht="18.75">
      <c r="B27" s="42" t="s">
        <v>147</v>
      </c>
      <c r="C27" s="43">
        <f>'2021 Budget lines'!D77</f>
        <v>381881</v>
      </c>
      <c r="D27" s="50"/>
      <c r="E27" s="35"/>
      <c r="F27" s="43">
        <f>'2021 Budget lines'!F77</f>
        <v>380310</v>
      </c>
      <c r="G27" s="50"/>
      <c r="H27" s="43">
        <f>'2021 Budget lines'!H77</f>
        <v>349197</v>
      </c>
      <c r="I27" s="50"/>
      <c r="J27" s="35"/>
      <c r="K27" s="43">
        <f>'2021 Budget lines'!J77</f>
        <v>324984.3</v>
      </c>
      <c r="L27" s="50"/>
      <c r="M27" s="35"/>
      <c r="N27" s="43">
        <f>'2021 Budget lines'!N77</f>
        <v>359772.97</v>
      </c>
      <c r="O27" s="50"/>
      <c r="P27" s="35"/>
      <c r="Q27" s="43">
        <f>'2021 Budget lines'!P77</f>
        <v>364722</v>
      </c>
      <c r="R27" s="50"/>
      <c r="S27" s="50"/>
      <c r="T27" s="43">
        <f>'2021 Budget lines'!R77</f>
        <v>379938.38</v>
      </c>
      <c r="U27" s="50"/>
      <c r="V27" s="35"/>
      <c r="W27" s="43">
        <f>'2021 Budget lines'!T77</f>
        <v>519038.1</v>
      </c>
      <c r="X27" s="50"/>
      <c r="Y27" s="35"/>
      <c r="Z27" s="43">
        <f>'2021 Budget lines'!V77</f>
        <v>574618.32</v>
      </c>
      <c r="AA27" s="50"/>
      <c r="AB27" s="50"/>
      <c r="AC27" s="43">
        <f>'2021 Budget lines'!X77</f>
        <v>536141.45</v>
      </c>
      <c r="AD27" s="50"/>
      <c r="AE27" s="50"/>
      <c r="AF27" s="43" t="e">
        <f>'2021 Budget lines'!#REF!</f>
        <v>#REF!</v>
      </c>
      <c r="AG27" s="50"/>
      <c r="AH27" s="35"/>
      <c r="AI27" s="43"/>
      <c r="AJ27" s="35"/>
      <c r="AK27" s="86"/>
    </row>
    <row r="28" spans="2:37" ht="18.75">
      <c r="B28" s="42" t="s">
        <v>50</v>
      </c>
      <c r="C28" s="43">
        <f>'2021 Budget lines'!D78</f>
        <v>466493</v>
      </c>
      <c r="D28" s="50"/>
      <c r="E28" s="35"/>
      <c r="F28" s="43">
        <f>'2021 Budget lines'!F78</f>
        <v>448710</v>
      </c>
      <c r="G28" s="50"/>
      <c r="H28" s="43">
        <f>'2021 Budget lines'!H78</f>
        <v>293164</v>
      </c>
      <c r="I28" s="50"/>
      <c r="J28" s="35"/>
      <c r="K28" s="43">
        <f>'2021 Budget lines'!J78</f>
        <v>335049.61</v>
      </c>
      <c r="L28" s="50"/>
      <c r="M28" s="35"/>
      <c r="N28" s="43">
        <f>'2021 Budget lines'!N78</f>
        <v>387578.69</v>
      </c>
      <c r="O28" s="50"/>
      <c r="P28" s="35"/>
      <c r="Q28" s="43">
        <f>'2021 Budget lines'!P78</f>
        <v>435861.27</v>
      </c>
      <c r="R28" s="50"/>
      <c r="S28" s="50"/>
      <c r="T28" s="43">
        <f>'2021 Budget lines'!R78</f>
        <v>441399.37</v>
      </c>
      <c r="U28" s="50"/>
      <c r="V28" s="35"/>
      <c r="W28" s="43">
        <f>'2021 Budget lines'!T78</f>
        <v>445535.24</v>
      </c>
      <c r="X28" s="50"/>
      <c r="Y28" s="35"/>
      <c r="Z28" s="43">
        <f>'2021 Budget lines'!V78</f>
        <v>371130.4</v>
      </c>
      <c r="AA28" s="50"/>
      <c r="AB28" s="50"/>
      <c r="AC28" s="43">
        <f>'2021 Budget lines'!X78</f>
        <v>355730.29</v>
      </c>
      <c r="AD28" s="50"/>
      <c r="AE28" s="50"/>
      <c r="AF28" s="43" t="e">
        <f>'2021 Budget lines'!#REF!</f>
        <v>#REF!</v>
      </c>
      <c r="AG28" s="50"/>
      <c r="AH28" s="35"/>
      <c r="AI28" s="43"/>
      <c r="AJ28" s="35"/>
      <c r="AK28" s="86"/>
    </row>
    <row r="29" spans="2:37" ht="18.75">
      <c r="B29" s="42" t="s">
        <v>101</v>
      </c>
      <c r="C29" s="43">
        <f>'2021 Budget lines'!D79</f>
        <v>19000</v>
      </c>
      <c r="D29" s="50"/>
      <c r="E29" s="35"/>
      <c r="F29" s="43">
        <f>'2021 Budget lines'!F79</f>
        <v>24000</v>
      </c>
      <c r="G29" s="50"/>
      <c r="H29" s="43">
        <f>'2021 Budget lines'!H79</f>
        <v>10000</v>
      </c>
      <c r="I29" s="50"/>
      <c r="J29" s="35"/>
      <c r="K29" s="43">
        <f>'2021 Budget lines'!J79</f>
        <v>2157.26</v>
      </c>
      <c r="L29" s="50"/>
      <c r="M29" s="35"/>
      <c r="N29" s="43">
        <f>'2021 Budget lines'!N79</f>
        <v>21557.57</v>
      </c>
      <c r="O29" s="50"/>
      <c r="P29" s="35"/>
      <c r="Q29" s="43">
        <f>'2021 Budget lines'!P79</f>
        <v>25933.870000000003</v>
      </c>
      <c r="R29" s="50"/>
      <c r="S29" s="50"/>
      <c r="T29" s="43">
        <f>'2021 Budget lines'!R79</f>
        <v>19574.69</v>
      </c>
      <c r="U29" s="50"/>
      <c r="V29" s="35"/>
      <c r="W29" s="43">
        <f>'2021 Budget lines'!T79</f>
        <v>36031.9</v>
      </c>
      <c r="X29" s="50"/>
      <c r="Y29" s="35"/>
      <c r="Z29" s="43">
        <f>'2021 Budget lines'!V79</f>
        <v>32883.47</v>
      </c>
      <c r="AA29" s="50"/>
      <c r="AB29" s="50"/>
      <c r="AC29" s="43">
        <f>'2021 Budget lines'!X79</f>
        <v>31403.809999999998</v>
      </c>
      <c r="AD29" s="50"/>
      <c r="AE29" s="50"/>
      <c r="AF29" s="43" t="e">
        <f>'2021 Budget lines'!#REF!</f>
        <v>#REF!</v>
      </c>
      <c r="AG29" s="50"/>
      <c r="AH29" s="35"/>
      <c r="AI29" s="43"/>
      <c r="AJ29" s="35"/>
      <c r="AK29" s="87"/>
    </row>
    <row r="30" spans="2:37" ht="18.75">
      <c r="B30" s="42" t="s">
        <v>87</v>
      </c>
      <c r="C30" s="43">
        <f>'2021 Budget lines'!D80</f>
        <v>59098</v>
      </c>
      <c r="D30" s="50"/>
      <c r="E30" s="35"/>
      <c r="F30" s="43">
        <f>'2021 Budget lines'!F80</f>
        <v>58288</v>
      </c>
      <c r="G30" s="50"/>
      <c r="H30" s="43">
        <f>'2021 Budget lines'!H80</f>
        <v>42249</v>
      </c>
      <c r="I30" s="50"/>
      <c r="J30" s="35"/>
      <c r="K30" s="43">
        <f>'2021 Budget lines'!J80</f>
        <v>35862.380000000005</v>
      </c>
      <c r="L30" s="50"/>
      <c r="M30" s="35"/>
      <c r="N30" s="43">
        <f>'2021 Budget lines'!N80</f>
        <v>39097.149999999994</v>
      </c>
      <c r="O30" s="50"/>
      <c r="P30" s="35"/>
      <c r="Q30" s="43">
        <f>'2021 Budget lines'!P80</f>
        <v>46704.44</v>
      </c>
      <c r="R30" s="50"/>
      <c r="S30" s="50"/>
      <c r="T30" s="43">
        <f>'2021 Budget lines'!R80</f>
        <v>52187.009999999995</v>
      </c>
      <c r="U30" s="50"/>
      <c r="V30" s="35"/>
      <c r="W30" s="43">
        <f>'2021 Budget lines'!T80</f>
        <v>59042.23</v>
      </c>
      <c r="X30" s="50"/>
      <c r="Y30" s="35"/>
      <c r="Z30" s="43">
        <f>'2021 Budget lines'!V80</f>
        <v>56877.67</v>
      </c>
      <c r="AA30" s="50"/>
      <c r="AB30" s="50"/>
      <c r="AC30" s="43">
        <f>'2021 Budget lines'!X80</f>
        <v>53932.729999999996</v>
      </c>
      <c r="AD30" s="50"/>
      <c r="AE30" s="50"/>
      <c r="AF30" s="43" t="e">
        <f>'2021 Budget lines'!#REF!</f>
        <v>#REF!</v>
      </c>
      <c r="AG30" s="50"/>
      <c r="AH30" s="35"/>
      <c r="AI30" s="43"/>
      <c r="AJ30" s="35"/>
      <c r="AK30" s="86"/>
    </row>
    <row r="31" spans="2:37" ht="18.75">
      <c r="B31" s="42" t="s">
        <v>163</v>
      </c>
      <c r="C31" s="43">
        <f>'2021 Budget lines'!D84</f>
        <v>111638</v>
      </c>
      <c r="D31" s="50"/>
      <c r="E31" s="35"/>
      <c r="F31" s="43">
        <f>'2021 Budget lines'!F84</f>
        <v>101246</v>
      </c>
      <c r="G31" s="50"/>
      <c r="H31" s="43">
        <f>'2021 Budget lines'!H84</f>
        <v>102697</v>
      </c>
      <c r="I31" s="50"/>
      <c r="J31" s="35"/>
      <c r="K31" s="43">
        <f>'2021 Budget lines'!J84</f>
        <v>-89015.49999999991</v>
      </c>
      <c r="L31" s="50"/>
      <c r="M31" s="35"/>
      <c r="N31" s="43">
        <f>'2021 Budget lines'!N84</f>
        <v>153576.8299999999</v>
      </c>
      <c r="O31" s="50"/>
      <c r="P31" s="35"/>
      <c r="Q31" s="43">
        <f>'2021 Budget lines'!P84</f>
        <v>140191.3299999999</v>
      </c>
      <c r="R31" s="50"/>
      <c r="S31" s="50"/>
      <c r="T31" s="43">
        <f>'2021 Budget lines'!R84</f>
        <v>111172.0199999999</v>
      </c>
      <c r="U31" s="50"/>
      <c r="V31" s="35"/>
      <c r="W31" s="43">
        <f>'2021 Budget lines'!T84</f>
        <v>134638.67000000004</v>
      </c>
      <c r="X31" s="50"/>
      <c r="Y31" s="35"/>
      <c r="Z31" s="43">
        <f>'2021 Budget lines'!V84</f>
        <v>123496.08000000007</v>
      </c>
      <c r="AA31" s="50"/>
      <c r="AB31" s="50"/>
      <c r="AC31" s="43">
        <f>'2021 Budget lines'!X84</f>
        <v>117164.50000000006</v>
      </c>
      <c r="AD31" s="50"/>
      <c r="AE31" s="50"/>
      <c r="AF31" s="43" t="e">
        <f>'2021 Budget lines'!#REF!</f>
        <v>#REF!</v>
      </c>
      <c r="AG31" s="50"/>
      <c r="AH31" s="35"/>
      <c r="AI31" s="43"/>
      <c r="AJ31" s="35"/>
      <c r="AK31" s="86"/>
    </row>
    <row r="32" spans="2:37" ht="18.75">
      <c r="B32" s="42" t="s">
        <v>24</v>
      </c>
      <c r="C32" s="43">
        <f>'2021 Budget lines'!D85</f>
        <v>3500</v>
      </c>
      <c r="D32" s="50"/>
      <c r="E32" s="35"/>
      <c r="F32" s="43">
        <f>'2021 Budget lines'!F85</f>
        <v>3500</v>
      </c>
      <c r="G32" s="50"/>
      <c r="H32" s="43">
        <f>'2021 Budget lines'!H85</f>
        <v>3500</v>
      </c>
      <c r="I32" s="50"/>
      <c r="J32" s="35"/>
      <c r="K32" s="43">
        <f>'2021 Budget lines'!J85</f>
        <v>3002.02</v>
      </c>
      <c r="L32" s="50"/>
      <c r="M32" s="35"/>
      <c r="N32" s="43">
        <f>'2021 Budget lines'!N85</f>
        <v>2847.89</v>
      </c>
      <c r="O32" s="50"/>
      <c r="P32" s="35"/>
      <c r="Q32" s="43">
        <f>'2021 Budget lines'!P85</f>
        <v>3566.99</v>
      </c>
      <c r="R32" s="50"/>
      <c r="S32" s="50"/>
      <c r="T32" s="43">
        <f>'2021 Budget lines'!R85</f>
        <v>5654.2</v>
      </c>
      <c r="U32" s="50"/>
      <c r="V32" s="35"/>
      <c r="W32" s="43">
        <f>'2021 Budget lines'!T85</f>
        <v>1229.07</v>
      </c>
      <c r="X32" s="50"/>
      <c r="Y32" s="35"/>
      <c r="Z32" s="43">
        <f>'2021 Budget lines'!V85</f>
        <v>738.16</v>
      </c>
      <c r="AA32" s="50"/>
      <c r="AB32" s="50"/>
      <c r="AC32" s="43">
        <f>'2021 Budget lines'!X85</f>
        <v>6123.5</v>
      </c>
      <c r="AD32" s="50"/>
      <c r="AE32" s="50"/>
      <c r="AF32" s="43" t="e">
        <f>'2021 Budget lines'!#REF!</f>
        <v>#REF!</v>
      </c>
      <c r="AG32" s="50"/>
      <c r="AH32" s="35"/>
      <c r="AI32" s="43"/>
      <c r="AJ32" s="35"/>
      <c r="AK32" s="87"/>
    </row>
    <row r="33" spans="2:37" ht="18.75">
      <c r="B33" s="42" t="s">
        <v>58</v>
      </c>
      <c r="C33" s="43">
        <f>'2021 Budget lines'!D86</f>
        <v>51000</v>
      </c>
      <c r="D33" s="50"/>
      <c r="E33" s="35"/>
      <c r="F33" s="43">
        <f>'2021 Budget lines'!F86</f>
        <v>51000</v>
      </c>
      <c r="G33" s="50"/>
      <c r="H33" s="43">
        <f>'2021 Budget lines'!H86</f>
        <v>18000</v>
      </c>
      <c r="I33" s="50"/>
      <c r="J33" s="35"/>
      <c r="K33" s="43">
        <f>'2021 Budget lines'!J86</f>
        <v>8710.25</v>
      </c>
      <c r="L33" s="50"/>
      <c r="M33" s="35"/>
      <c r="N33" s="43">
        <f>'2021 Budget lines'!N86</f>
        <v>52637.200000000004</v>
      </c>
      <c r="O33" s="50"/>
      <c r="P33" s="35"/>
      <c r="Q33" s="43">
        <f>'2021 Budget lines'!P86</f>
        <v>45073.17</v>
      </c>
      <c r="R33" s="50"/>
      <c r="S33" s="50"/>
      <c r="T33" s="43">
        <f>'2021 Budget lines'!R86</f>
        <v>51095.05</v>
      </c>
      <c r="U33" s="50"/>
      <c r="V33" s="35"/>
      <c r="W33" s="43">
        <f>'2021 Budget lines'!T86</f>
        <v>62928.17</v>
      </c>
      <c r="X33" s="50"/>
      <c r="Y33" s="35"/>
      <c r="Z33" s="43">
        <f>'2021 Budget lines'!V86</f>
        <v>63446.6</v>
      </c>
      <c r="AA33" s="50"/>
      <c r="AB33" s="50"/>
      <c r="AC33" s="43">
        <f>'2021 Budget lines'!X86</f>
        <v>37782.68</v>
      </c>
      <c r="AD33" s="50"/>
      <c r="AE33" s="50"/>
      <c r="AF33" s="43" t="e">
        <f>'2021 Budget lines'!#REF!</f>
        <v>#REF!</v>
      </c>
      <c r="AG33" s="50"/>
      <c r="AH33" s="35"/>
      <c r="AI33" s="43"/>
      <c r="AJ33" s="35"/>
      <c r="AK33" s="87"/>
    </row>
    <row r="34" spans="2:37" ht="18.75">
      <c r="B34" s="42" t="s">
        <v>172</v>
      </c>
      <c r="C34" s="43">
        <f>'2021 Budget lines'!D98</f>
        <v>25000</v>
      </c>
      <c r="D34" s="50"/>
      <c r="E34" s="35"/>
      <c r="F34" s="43">
        <f>'2021 Budget lines'!F98</f>
        <v>25000</v>
      </c>
      <c r="G34" s="50"/>
      <c r="H34" s="43">
        <f>'2021 Budget lines'!H98</f>
        <v>25000</v>
      </c>
      <c r="I34" s="50"/>
      <c r="J34" s="35"/>
      <c r="K34" s="43">
        <f>'2021 Budget lines'!J98</f>
        <v>25000</v>
      </c>
      <c r="L34" s="50"/>
      <c r="M34" s="35"/>
      <c r="N34" s="43">
        <f>'2021 Budget lines'!N98</f>
        <v>25000</v>
      </c>
      <c r="O34" s="50"/>
      <c r="P34" s="35"/>
      <c r="Q34" s="43">
        <f>'2021 Budget lines'!P98</f>
        <v>25000</v>
      </c>
      <c r="R34" s="50"/>
      <c r="S34" s="50"/>
      <c r="T34" s="43">
        <f>'2021 Budget lines'!R98</f>
        <v>25000</v>
      </c>
      <c r="U34" s="50"/>
      <c r="V34" s="35"/>
      <c r="W34" s="43">
        <f>'2021 Budget lines'!T98</f>
        <v>25000</v>
      </c>
      <c r="X34" s="50"/>
      <c r="Y34" s="35"/>
      <c r="Z34" s="43">
        <f>'2021 Budget lines'!V98</f>
        <v>25000</v>
      </c>
      <c r="AA34" s="50"/>
      <c r="AB34" s="50"/>
      <c r="AC34" s="43">
        <f>'2021 Budget lines'!X98</f>
        <v>25000</v>
      </c>
      <c r="AD34" s="50"/>
      <c r="AE34" s="50"/>
      <c r="AF34" s="43" t="e">
        <f>'2021 Budget lines'!#REF!</f>
        <v>#REF!</v>
      </c>
      <c r="AG34" s="50"/>
      <c r="AH34" s="35"/>
      <c r="AI34" s="43"/>
      <c r="AJ34" s="35"/>
      <c r="AK34" s="87"/>
    </row>
    <row r="35" spans="2:37" ht="18.75">
      <c r="B35" s="42" t="s">
        <v>69</v>
      </c>
      <c r="C35" s="43">
        <f>'2021 Budget lines'!D91+'2021 Budget lines'!D92+'2021 Budget lines'!D93</f>
        <v>11000</v>
      </c>
      <c r="D35" s="50"/>
      <c r="E35" s="35"/>
      <c r="F35" s="43">
        <f>'2021 Budget lines'!F91+'2021 Budget lines'!F92+'2021 Budget lines'!F93</f>
        <v>11000</v>
      </c>
      <c r="G35" s="50"/>
      <c r="H35" s="43">
        <f>'2021 Budget lines'!H91+'2021 Budget lines'!H92+'2021 Budget lines'!H93</f>
        <v>8250</v>
      </c>
      <c r="I35" s="50"/>
      <c r="J35" s="35"/>
      <c r="K35" s="43">
        <f>'2021 Budget lines'!J91+'2021 Budget lines'!J92+'2021 Budget lines'!J93</f>
        <v>6183.97</v>
      </c>
      <c r="L35" s="50"/>
      <c r="M35" s="35"/>
      <c r="N35" s="43">
        <f>'2021 Budget lines'!N91+'2021 Budget lines'!N92+'2021 Budget lines'!N93</f>
        <v>13469.18</v>
      </c>
      <c r="O35" s="50"/>
      <c r="P35" s="35"/>
      <c r="Q35" s="43">
        <f>'2021 Budget lines'!P91+'2021 Budget lines'!P92+'2021 Budget lines'!P93</f>
        <v>18652.589999999997</v>
      </c>
      <c r="R35" s="50"/>
      <c r="S35" s="50"/>
      <c r="T35" s="43">
        <f>'2021 Budget lines'!R91+'2021 Budget lines'!R92+'2021 Budget lines'!R93</f>
        <v>18380.61</v>
      </c>
      <c r="U35" s="50"/>
      <c r="V35" s="35"/>
      <c r="W35" s="43">
        <f>'2021 Budget lines'!T91+'2021 Budget lines'!T92+'2021 Budget lines'!T93</f>
        <v>16811.739999999998</v>
      </c>
      <c r="X35" s="50"/>
      <c r="Y35" s="35"/>
      <c r="Z35" s="43">
        <f>'2021 Budget lines'!V91+'2021 Budget lines'!V92+'2021 Budget lines'!V93</f>
        <v>15226.009999999998</v>
      </c>
      <c r="AA35" s="50"/>
      <c r="AB35" s="50"/>
      <c r="AC35" s="43">
        <f>'2021 Budget lines'!X91</f>
        <v>4574.3</v>
      </c>
      <c r="AD35" s="50"/>
      <c r="AE35" s="50"/>
      <c r="AF35" s="43" t="e">
        <f>'2021 Budget lines'!#REF!</f>
        <v>#REF!</v>
      </c>
      <c r="AG35" s="50"/>
      <c r="AH35" s="35"/>
      <c r="AI35" s="43"/>
      <c r="AJ35" s="35"/>
      <c r="AK35" s="87"/>
    </row>
    <row r="36" spans="2:37" ht="18.75">
      <c r="B36" s="42" t="s">
        <v>127</v>
      </c>
      <c r="C36" s="43">
        <f>'2021 Budget lines'!D96</f>
        <v>35000</v>
      </c>
      <c r="D36" s="50"/>
      <c r="E36" s="35"/>
      <c r="F36" s="43">
        <f>'2021 Budget lines'!F96</f>
        <v>40000</v>
      </c>
      <c r="G36" s="50"/>
      <c r="H36" s="43">
        <f>'2021 Budget lines'!H96</f>
        <v>14000</v>
      </c>
      <c r="I36" s="50"/>
      <c r="J36" s="35"/>
      <c r="K36" s="43">
        <f>'2021 Budget lines'!J96</f>
        <v>8114.75</v>
      </c>
      <c r="L36" s="50"/>
      <c r="M36" s="35"/>
      <c r="N36" s="43">
        <f>'2021 Budget lines'!N96</f>
        <v>30009.89</v>
      </c>
      <c r="O36" s="50"/>
      <c r="P36" s="35"/>
      <c r="Q36" s="43">
        <f>'2021 Budget lines'!P96</f>
        <v>37736.98</v>
      </c>
      <c r="R36" s="50"/>
      <c r="S36" s="50"/>
      <c r="T36" s="43">
        <f>'2021 Budget lines'!R96</f>
        <v>45110.96</v>
      </c>
      <c r="U36" s="50"/>
      <c r="V36" s="35"/>
      <c r="W36" s="43">
        <f>'2021 Budget lines'!T96</f>
        <v>43594.39</v>
      </c>
      <c r="X36" s="50"/>
      <c r="Y36" s="35"/>
      <c r="Z36" s="43">
        <f>'2021 Budget lines'!V96</f>
        <v>34735.73</v>
      </c>
      <c r="AA36" s="50"/>
      <c r="AB36" s="50"/>
      <c r="AC36" s="43">
        <f>'2021 Budget lines'!X96</f>
        <v>24438.75</v>
      </c>
      <c r="AD36" s="50"/>
      <c r="AE36" s="50"/>
      <c r="AF36" s="43" t="e">
        <f>'2021 Budget lines'!#REF!</f>
        <v>#REF!</v>
      </c>
      <c r="AG36" s="50"/>
      <c r="AH36" s="35"/>
      <c r="AI36" s="43"/>
      <c r="AJ36" s="35"/>
      <c r="AK36" s="86"/>
    </row>
    <row r="37" spans="2:37" ht="18.75">
      <c r="B37" s="53" t="s">
        <v>128</v>
      </c>
      <c r="C37" s="43">
        <f>'2021 Budget lines'!D105</f>
        <v>35000</v>
      </c>
      <c r="D37" s="50"/>
      <c r="E37" s="35"/>
      <c r="F37" s="43">
        <f>'2021 Budget lines'!F105</f>
        <v>35000</v>
      </c>
      <c r="G37" s="50"/>
      <c r="H37" s="43">
        <f>'2021 Budget lines'!H105</f>
        <v>35000</v>
      </c>
      <c r="I37" s="50"/>
      <c r="J37" s="35"/>
      <c r="K37" s="43">
        <f>'2021 Budget lines'!J105</f>
        <v>0</v>
      </c>
      <c r="L37" s="50"/>
      <c r="M37" s="35"/>
      <c r="N37" s="43">
        <f>'2021 Budget lines'!N105</f>
        <v>35000</v>
      </c>
      <c r="O37" s="50"/>
      <c r="P37" s="35"/>
      <c r="Q37" s="43">
        <f>'2021 Budget lines'!P105</f>
        <v>35000</v>
      </c>
      <c r="R37" s="50"/>
      <c r="S37" s="50"/>
      <c r="T37" s="43">
        <f>'2021 Budget lines'!R105</f>
        <v>257781.86</v>
      </c>
      <c r="U37" s="50"/>
      <c r="V37" s="35"/>
      <c r="W37" s="43">
        <f>'2021 Budget lines'!T105</f>
        <v>30000</v>
      </c>
      <c r="X37" s="50"/>
      <c r="Y37" s="35"/>
      <c r="Z37" s="43">
        <f>'2021 Budget lines'!V105</f>
        <v>30000</v>
      </c>
      <c r="AA37" s="50"/>
      <c r="AB37" s="50"/>
      <c r="AC37" s="43">
        <f>'2021 Budget lines'!X105</f>
        <v>30000</v>
      </c>
      <c r="AD37" s="50"/>
      <c r="AE37" s="50"/>
      <c r="AF37" s="43" t="e">
        <f>'2021 Budget lines'!#REF!</f>
        <v>#REF!</v>
      </c>
      <c r="AG37" s="50"/>
      <c r="AH37" s="35"/>
      <c r="AI37" s="43"/>
      <c r="AJ37" s="35"/>
      <c r="AK37" s="87"/>
    </row>
    <row r="38" spans="2:37" ht="18.75">
      <c r="B38" s="44" t="s">
        <v>161</v>
      </c>
      <c r="C38" s="46">
        <v>32150</v>
      </c>
      <c r="D38" s="51">
        <f>SUM(C27:C38)</f>
        <v>1230760</v>
      </c>
      <c r="E38" s="45"/>
      <c r="F38" s="46">
        <v>32150</v>
      </c>
      <c r="G38" s="51">
        <f>SUM(F27:F38)</f>
        <v>1210204</v>
      </c>
      <c r="H38" s="46">
        <v>17900</v>
      </c>
      <c r="I38" s="51">
        <f>SUM(H27:H38)</f>
        <v>918957</v>
      </c>
      <c r="J38" s="45"/>
      <c r="K38" s="46">
        <v>3666</v>
      </c>
      <c r="L38" s="51">
        <f>SUM(K27:K38)</f>
        <v>663715.04</v>
      </c>
      <c r="M38" s="45"/>
      <c r="N38" s="46">
        <v>35383</v>
      </c>
      <c r="O38" s="51">
        <f>SUM(N27:N38)</f>
        <v>1155930.3699999996</v>
      </c>
      <c r="P38" s="45"/>
      <c r="Q38" s="46">
        <v>81411</v>
      </c>
      <c r="R38" s="51">
        <f>SUM(Q27:Q38)</f>
        <v>1259853.64</v>
      </c>
      <c r="S38" s="51"/>
      <c r="T38" s="46">
        <v>41044</v>
      </c>
      <c r="U38" s="51">
        <f>SUM(T27:T38)</f>
        <v>1448338.15</v>
      </c>
      <c r="V38" s="45"/>
      <c r="W38" s="46">
        <v>24026</v>
      </c>
      <c r="X38" s="51">
        <f>SUM(W27:W38)</f>
        <v>1397875.51</v>
      </c>
      <c r="Y38" s="45"/>
      <c r="Z38" s="46">
        <v>14091</v>
      </c>
      <c r="AA38" s="51">
        <f>SUM(Z27:Z38)</f>
        <v>1342243.44</v>
      </c>
      <c r="AB38" s="51"/>
      <c r="AC38" s="46">
        <v>54363</v>
      </c>
      <c r="AD38" s="51">
        <f>SUM(AC27:AC38)</f>
        <v>1276655.01</v>
      </c>
      <c r="AE38" s="51"/>
      <c r="AF38" s="46">
        <v>22809</v>
      </c>
      <c r="AG38" s="51" t="e">
        <f>SUM(AF27:AF38)</f>
        <v>#REF!</v>
      </c>
      <c r="AH38" s="35"/>
      <c r="AI38" s="43"/>
      <c r="AJ38" s="35"/>
      <c r="AK38" s="87"/>
    </row>
    <row r="39" spans="2:37" ht="19.5">
      <c r="B39" s="54" t="s">
        <v>148</v>
      </c>
      <c r="C39" s="40"/>
      <c r="D39" s="49"/>
      <c r="E39" s="39"/>
      <c r="F39" s="40"/>
      <c r="G39" s="49"/>
      <c r="H39" s="40"/>
      <c r="I39" s="49"/>
      <c r="J39" s="39"/>
      <c r="K39" s="40"/>
      <c r="L39" s="49"/>
      <c r="M39" s="39"/>
      <c r="N39" s="40"/>
      <c r="O39" s="49"/>
      <c r="P39" s="39"/>
      <c r="Q39" s="40"/>
      <c r="R39" s="49"/>
      <c r="S39" s="49"/>
      <c r="T39" s="40"/>
      <c r="U39" s="49"/>
      <c r="V39" s="39"/>
      <c r="W39" s="40"/>
      <c r="X39" s="49"/>
      <c r="Y39" s="39"/>
      <c r="Z39" s="40"/>
      <c r="AA39" s="49"/>
      <c r="AB39" s="49"/>
      <c r="AC39" s="40"/>
      <c r="AD39" s="49"/>
      <c r="AE39" s="49"/>
      <c r="AF39" s="40"/>
      <c r="AG39" s="49"/>
      <c r="AH39" s="35"/>
      <c r="AI39" s="84"/>
      <c r="AJ39" s="35"/>
      <c r="AK39" s="87"/>
    </row>
    <row r="40" spans="2:37" ht="18.75">
      <c r="B40" s="58" t="s">
        <v>68</v>
      </c>
      <c r="C40" s="43">
        <f>'2021 Budget lines'!D108</f>
        <v>67000</v>
      </c>
      <c r="D40" s="50"/>
      <c r="E40" s="35"/>
      <c r="F40" s="43">
        <f>'2021 Budget lines'!F108</f>
        <v>67000</v>
      </c>
      <c r="G40" s="50"/>
      <c r="H40" s="43">
        <f>'2021 Budget lines'!H108</f>
        <v>55132</v>
      </c>
      <c r="I40" s="50"/>
      <c r="J40" s="35"/>
      <c r="K40" s="43">
        <f>'2021 Budget lines'!J108</f>
        <v>51954.6</v>
      </c>
      <c r="L40" s="50"/>
      <c r="M40" s="35"/>
      <c r="N40" s="43">
        <f>'2021 Budget lines'!N108</f>
        <v>79061.89</v>
      </c>
      <c r="O40" s="50"/>
      <c r="P40" s="35"/>
      <c r="Q40" s="43">
        <f>'2021 Budget lines'!P108</f>
        <v>73492.33</v>
      </c>
      <c r="R40" s="50"/>
      <c r="S40" s="50"/>
      <c r="T40" s="43">
        <f>'2021 Budget lines'!R108</f>
        <v>79939.29</v>
      </c>
      <c r="U40" s="50"/>
      <c r="V40" s="35"/>
      <c r="W40" s="43">
        <f>'2021 Budget lines'!T108</f>
        <v>73503.11</v>
      </c>
      <c r="X40" s="50"/>
      <c r="Y40" s="35"/>
      <c r="Z40" s="43">
        <f>'2021 Budget lines'!V108</f>
        <v>55179.28</v>
      </c>
      <c r="AA40" s="50"/>
      <c r="AB40" s="50"/>
      <c r="AC40" s="43">
        <f>'2021 Budget lines'!X108</f>
        <v>54933.3</v>
      </c>
      <c r="AD40" s="50"/>
      <c r="AE40" s="50"/>
      <c r="AF40" s="43" t="e">
        <f>'2021 Budget lines'!#REF!</f>
        <v>#REF!</v>
      </c>
      <c r="AG40" s="50"/>
      <c r="AH40" s="35"/>
      <c r="AI40" s="43"/>
      <c r="AJ40" s="35"/>
      <c r="AK40" s="87"/>
    </row>
    <row r="41" spans="2:37" ht="18.75">
      <c r="B41" s="58" t="s">
        <v>164</v>
      </c>
      <c r="C41" s="43">
        <f>'2021 Budget lines'!D110</f>
        <v>1800</v>
      </c>
      <c r="D41" s="50"/>
      <c r="E41" s="35"/>
      <c r="F41" s="43">
        <f>'2021 Budget lines'!F110</f>
        <v>1800</v>
      </c>
      <c r="G41" s="50"/>
      <c r="H41" s="43">
        <f>'2021 Budget lines'!H110</f>
        <v>1800</v>
      </c>
      <c r="I41" s="50"/>
      <c r="J41" s="35"/>
      <c r="K41" s="43">
        <f>'2021 Budget lines'!J110</f>
        <v>0.43</v>
      </c>
      <c r="L41" s="50"/>
      <c r="M41" s="35"/>
      <c r="N41" s="43">
        <f>'2021 Budget lines'!N110</f>
        <v>13.5</v>
      </c>
      <c r="O41" s="50"/>
      <c r="P41" s="35"/>
      <c r="Q41" s="43">
        <f>'2021 Budget lines'!P110</f>
        <v>4.19</v>
      </c>
      <c r="R41" s="50"/>
      <c r="S41" s="50"/>
      <c r="T41" s="43">
        <f>'2021 Budget lines'!R110</f>
        <v>1796.23</v>
      </c>
      <c r="U41" s="50"/>
      <c r="V41" s="35"/>
      <c r="W41" s="43">
        <f>'2021 Budget lines'!T110</f>
        <v>3705.4700000000003</v>
      </c>
      <c r="X41" s="50"/>
      <c r="Y41" s="35"/>
      <c r="Z41" s="43">
        <f>'2021 Budget lines'!V110</f>
        <v>11929.66</v>
      </c>
      <c r="AA41" s="50"/>
      <c r="AB41" s="50"/>
      <c r="AC41" s="43">
        <f>'2021 Budget lines'!X110</f>
        <v>67365.1</v>
      </c>
      <c r="AD41" s="50"/>
      <c r="AE41" s="50"/>
      <c r="AF41" s="43" t="e">
        <f>'2021 Budget lines'!#REF!</f>
        <v>#REF!</v>
      </c>
      <c r="AG41" s="50"/>
      <c r="AH41" s="35"/>
      <c r="AI41" s="43"/>
      <c r="AJ41" s="35"/>
      <c r="AK41" s="86"/>
    </row>
    <row r="42" spans="2:37" ht="18.75">
      <c r="B42" s="58" t="s">
        <v>165</v>
      </c>
      <c r="C42" s="43">
        <f>'2021 Budget lines'!D117+'2021 Budget lines'!D118+'2021 Budget lines'!D119</f>
        <v>42000</v>
      </c>
      <c r="D42" s="50"/>
      <c r="E42" s="35"/>
      <c r="F42" s="43">
        <f>'2021 Budget lines'!F117+'2021 Budget lines'!F118+'2021 Budget lines'!F119</f>
        <v>40000</v>
      </c>
      <c r="G42" s="50"/>
      <c r="H42" s="43">
        <f>'2021 Budget lines'!H117+'2021 Budget lines'!H118+'2021 Budget lines'!H119</f>
        <v>40000</v>
      </c>
      <c r="I42" s="50"/>
      <c r="J42" s="35"/>
      <c r="K42" s="43">
        <f>'2021 Budget lines'!J117+'2021 Budget lines'!J118+'2021 Budget lines'!J119</f>
        <v>555.0000000000009</v>
      </c>
      <c r="L42" s="50"/>
      <c r="M42" s="35"/>
      <c r="N42" s="43">
        <f>'2021 Budget lines'!N117+'2021 Budget lines'!N118+'2021 Budget lines'!N119</f>
        <v>70123.16</v>
      </c>
      <c r="O42" s="50"/>
      <c r="P42" s="35"/>
      <c r="Q42" s="43">
        <f>'2021 Budget lines'!P117+'2021 Budget lines'!P118+'2021 Budget lines'!P119</f>
        <v>45025.41</v>
      </c>
      <c r="R42" s="50"/>
      <c r="S42" s="50"/>
      <c r="T42" s="43">
        <f>'2021 Budget lines'!R117+'2021 Budget lines'!R118+'2021 Budget lines'!R119</f>
        <v>24772.72</v>
      </c>
      <c r="U42" s="50"/>
      <c r="V42" s="35"/>
      <c r="W42" s="43">
        <f>'2021 Budget lines'!T117+'2021 Budget lines'!T118+'2021 Budget lines'!T119</f>
        <v>44709.189999999995</v>
      </c>
      <c r="X42" s="50"/>
      <c r="Y42" s="35"/>
      <c r="Z42" s="43">
        <f>'2021 Budget lines'!V117+'2021 Budget lines'!V118+'2021 Budget lines'!V119</f>
        <v>44073.84</v>
      </c>
      <c r="AA42" s="50"/>
      <c r="AB42" s="50"/>
      <c r="AC42" s="43">
        <f>'2021 Budget lines'!X117+'2021 Budget lines'!X118+'2021 Budget lines'!X119</f>
        <v>35485.79</v>
      </c>
      <c r="AD42" s="50"/>
      <c r="AE42" s="50"/>
      <c r="AF42" s="43" t="e">
        <f>'2021 Budget lines'!#REF!+'2021 Budget lines'!#REF!+'2021 Budget lines'!#REF!</f>
        <v>#REF!</v>
      </c>
      <c r="AG42" s="50"/>
      <c r="AH42" s="35"/>
      <c r="AI42" s="43"/>
      <c r="AJ42" s="35"/>
      <c r="AK42" s="86"/>
    </row>
    <row r="43" spans="2:37" ht="18.75">
      <c r="B43" s="58" t="s">
        <v>166</v>
      </c>
      <c r="C43" s="43">
        <f>'2021 Budget lines'!D139</f>
        <v>318307</v>
      </c>
      <c r="D43" s="50"/>
      <c r="E43" s="35"/>
      <c r="F43" s="43">
        <f>'2021 Budget lines'!F139</f>
        <v>316307</v>
      </c>
      <c r="G43" s="50"/>
      <c r="H43" s="43">
        <f>'2021 Budget lines'!H139</f>
        <v>284700</v>
      </c>
      <c r="I43" s="50"/>
      <c r="J43" s="35"/>
      <c r="K43" s="43">
        <f>'2021 Budget lines'!J139</f>
        <v>109785.63</v>
      </c>
      <c r="L43" s="50"/>
      <c r="M43" s="35"/>
      <c r="N43" s="43">
        <f>'2021 Budget lines'!N139</f>
        <v>297114.86</v>
      </c>
      <c r="O43" s="50"/>
      <c r="P43" s="35"/>
      <c r="Q43" s="43">
        <f>'2021 Budget lines'!P139</f>
        <v>316598.24</v>
      </c>
      <c r="R43" s="50"/>
      <c r="S43" s="50"/>
      <c r="T43" s="43">
        <f>'2021 Budget lines'!R139</f>
        <v>335191.53</v>
      </c>
      <c r="U43" s="50"/>
      <c r="V43" s="35"/>
      <c r="W43" s="43">
        <f>'2021 Budget lines'!T139</f>
        <v>366284.76</v>
      </c>
      <c r="X43" s="50"/>
      <c r="Y43" s="35"/>
      <c r="Z43" s="43">
        <f>'2021 Budget lines'!V139</f>
        <v>309405.33999999997</v>
      </c>
      <c r="AA43" s="50"/>
      <c r="AB43" s="50"/>
      <c r="AC43" s="43">
        <f>'2021 Budget lines'!X139</f>
        <v>350398.38</v>
      </c>
      <c r="AD43" s="50"/>
      <c r="AE43" s="50"/>
      <c r="AF43" s="43" t="e">
        <f>'2021 Budget lines'!#REF!</f>
        <v>#REF!</v>
      </c>
      <c r="AG43" s="50"/>
      <c r="AH43" s="35"/>
      <c r="AI43" s="43"/>
      <c r="AJ43" s="35"/>
      <c r="AK43" s="86"/>
    </row>
    <row r="44" spans="2:37" ht="19.5" thickBot="1">
      <c r="B44" s="58" t="s">
        <v>161</v>
      </c>
      <c r="C44" s="43">
        <v>22200</v>
      </c>
      <c r="D44" s="59">
        <f>SUM(C40:C44)</f>
        <v>451307</v>
      </c>
      <c r="E44" s="35"/>
      <c r="F44" s="43">
        <v>24250</v>
      </c>
      <c r="G44" s="59">
        <f>SUM(F40:F44)</f>
        <v>449357</v>
      </c>
      <c r="H44" s="43">
        <v>14650</v>
      </c>
      <c r="I44" s="59">
        <f>SUM(H40:H44)</f>
        <v>396282</v>
      </c>
      <c r="J44" s="35"/>
      <c r="K44" s="43">
        <f>232973-162296</f>
        <v>70677</v>
      </c>
      <c r="L44" s="59">
        <f>SUM(K40:K44)</f>
        <v>232972.66</v>
      </c>
      <c r="M44" s="35"/>
      <c r="N44" s="43">
        <v>14184</v>
      </c>
      <c r="O44" s="59">
        <f>SUM(N40:N44)</f>
        <v>460497.41</v>
      </c>
      <c r="P44" s="35"/>
      <c r="Q44" s="43">
        <v>30405</v>
      </c>
      <c r="R44" s="59">
        <f>SUM(Q40:Q44)</f>
        <v>465525.17</v>
      </c>
      <c r="S44" s="59"/>
      <c r="T44" s="43">
        <v>26634</v>
      </c>
      <c r="U44" s="59">
        <f>SUM(T40:T44)</f>
        <v>468333.77</v>
      </c>
      <c r="V44" s="35"/>
      <c r="W44" s="43">
        <v>9833</v>
      </c>
      <c r="X44" s="59">
        <f>SUM(W40:W44)</f>
        <v>498035.53</v>
      </c>
      <c r="Y44" s="35"/>
      <c r="Z44" s="43">
        <v>10746</v>
      </c>
      <c r="AA44" s="59">
        <f>SUM(Z40:Z44)</f>
        <v>431334.12</v>
      </c>
      <c r="AB44" s="59"/>
      <c r="AC44" s="43">
        <v>28885</v>
      </c>
      <c r="AD44" s="59">
        <f>SUM(AC40:AC44)</f>
        <v>537067.5700000001</v>
      </c>
      <c r="AE44" s="59"/>
      <c r="AF44" s="43">
        <v>12546</v>
      </c>
      <c r="AG44" s="59" t="e">
        <f>SUM(AF40:AF44)</f>
        <v>#REF!</v>
      </c>
      <c r="AH44" s="35"/>
      <c r="AI44" s="43"/>
      <c r="AJ44" s="35"/>
      <c r="AK44" s="87"/>
    </row>
    <row r="45" spans="2:37" ht="19.5" thickBot="1">
      <c r="B45" s="61" t="s">
        <v>56</v>
      </c>
      <c r="C45" s="63"/>
      <c r="D45" s="64">
        <f>SUM(D4:D44)</f>
        <v>3761833.3049999997</v>
      </c>
      <c r="E45" s="62"/>
      <c r="F45" s="63"/>
      <c r="G45" s="64">
        <f>SUM(G4:G44)</f>
        <v>3737358.2224000003</v>
      </c>
      <c r="H45" s="63"/>
      <c r="I45" s="64">
        <f>SUM(I4:I44)</f>
        <v>3335371.2224000003</v>
      </c>
      <c r="J45" s="62"/>
      <c r="K45" s="63"/>
      <c r="L45" s="64">
        <f>SUM(L4:L44)</f>
        <v>2063665.43</v>
      </c>
      <c r="M45" s="62"/>
      <c r="N45" s="63"/>
      <c r="O45" s="64">
        <f>SUM(O4:O44)</f>
        <v>3656654.76</v>
      </c>
      <c r="P45" s="62"/>
      <c r="Q45" s="63"/>
      <c r="R45" s="64">
        <f>SUM(R4:R44)</f>
        <v>3492348.9399999995</v>
      </c>
      <c r="S45" s="64"/>
      <c r="T45" s="63"/>
      <c r="U45" s="64">
        <f>SUM(U4:U44)</f>
        <v>3638672.39</v>
      </c>
      <c r="V45" s="62"/>
      <c r="W45" s="63"/>
      <c r="X45" s="64">
        <f>SUM(X4:X44)</f>
        <v>3928422.6500000004</v>
      </c>
      <c r="Y45" s="62"/>
      <c r="Z45" s="63"/>
      <c r="AA45" s="64">
        <f>SUM(AA4:AA44)</f>
        <v>3775504.6500000004</v>
      </c>
      <c r="AB45" s="64"/>
      <c r="AC45" s="63"/>
      <c r="AD45" s="64">
        <f>SUM(AD4:AD44)</f>
        <v>3790731.1000000006</v>
      </c>
      <c r="AE45" s="64"/>
      <c r="AF45" s="76"/>
      <c r="AG45" s="64" t="e">
        <f>SUM(AG4:AG44)</f>
        <v>#REF!</v>
      </c>
      <c r="AH45" s="35"/>
      <c r="AI45" s="43"/>
      <c r="AJ45" s="83"/>
      <c r="AK45" s="87"/>
    </row>
    <row r="46" spans="2:37" ht="16.5">
      <c r="B46" s="60" t="s">
        <v>155</v>
      </c>
      <c r="C46" s="43">
        <v>0</v>
      </c>
      <c r="D46" s="68">
        <f>C46</f>
        <v>0</v>
      </c>
      <c r="E46" s="35"/>
      <c r="F46" s="43">
        <v>0</v>
      </c>
      <c r="G46" s="68">
        <f>F46</f>
        <v>0</v>
      </c>
      <c r="H46" s="43">
        <v>0</v>
      </c>
      <c r="I46" s="68">
        <f>H46</f>
        <v>0</v>
      </c>
      <c r="J46" s="35"/>
      <c r="K46" s="43">
        <v>0</v>
      </c>
      <c r="L46" s="68">
        <f>K46</f>
        <v>0</v>
      </c>
      <c r="M46" s="35"/>
      <c r="N46" s="43">
        <v>0</v>
      </c>
      <c r="O46" s="68">
        <f>N46</f>
        <v>0</v>
      </c>
      <c r="P46" s="35"/>
      <c r="Q46" s="43">
        <v>0</v>
      </c>
      <c r="R46" s="68"/>
      <c r="S46" s="68"/>
      <c r="T46" s="43">
        <v>0</v>
      </c>
      <c r="U46" s="84"/>
      <c r="V46" s="35"/>
      <c r="W46" s="43">
        <v>0</v>
      </c>
      <c r="X46" s="4"/>
      <c r="Y46" s="35"/>
      <c r="Z46" s="43">
        <v>0</v>
      </c>
      <c r="AA46" s="4"/>
      <c r="AB46" s="4"/>
      <c r="AC46" s="43">
        <v>0</v>
      </c>
      <c r="AD46" s="4"/>
      <c r="AE46" s="4"/>
      <c r="AF46" s="68"/>
      <c r="AG46" s="4"/>
      <c r="AH46" s="35"/>
      <c r="AI46" s="43"/>
      <c r="AJ46" s="35"/>
      <c r="AK46" s="86"/>
    </row>
    <row r="47" spans="1:37" ht="9.75" customHeight="1">
      <c r="A47" s="33"/>
      <c r="B47" s="32"/>
      <c r="C47" s="4"/>
      <c r="D47" s="4"/>
      <c r="F47" s="4"/>
      <c r="G47" s="4"/>
      <c r="H47" s="4"/>
      <c r="I47" s="4"/>
      <c r="K47" s="4"/>
      <c r="L47" s="4"/>
      <c r="N47" s="4"/>
      <c r="O47" s="4"/>
      <c r="Q47" s="4"/>
      <c r="R47" s="4"/>
      <c r="S47" s="4"/>
      <c r="T47" s="84"/>
      <c r="U47" s="84"/>
      <c r="W47" s="4"/>
      <c r="X47" s="4"/>
      <c r="Z47" s="4"/>
      <c r="AA47" s="4"/>
      <c r="AB47" s="4"/>
      <c r="AC47" s="4"/>
      <c r="AD47" s="4"/>
      <c r="AE47" s="4"/>
      <c r="AF47" s="68"/>
      <c r="AG47" s="4"/>
      <c r="AH47" s="35"/>
      <c r="AI47" s="84"/>
      <c r="AJ47" s="35"/>
      <c r="AK47" s="87"/>
    </row>
    <row r="48" spans="1:37" ht="18" customHeight="1">
      <c r="A48" s="33"/>
      <c r="B48" s="65" t="s">
        <v>167</v>
      </c>
      <c r="C48" s="41"/>
      <c r="D48" s="49"/>
      <c r="E48" s="39"/>
      <c r="F48" s="41"/>
      <c r="G48" s="49"/>
      <c r="H48" s="41"/>
      <c r="I48" s="49"/>
      <c r="J48" s="39"/>
      <c r="K48" s="41"/>
      <c r="L48" s="49"/>
      <c r="M48" s="39"/>
      <c r="N48" s="41"/>
      <c r="O48" s="49"/>
      <c r="P48" s="39"/>
      <c r="Q48" s="41"/>
      <c r="R48" s="49"/>
      <c r="S48" s="49"/>
      <c r="T48" s="41"/>
      <c r="U48" s="49"/>
      <c r="V48" s="39"/>
      <c r="W48" s="41"/>
      <c r="X48" s="49"/>
      <c r="Y48" s="39"/>
      <c r="Z48" s="41"/>
      <c r="AA48" s="49"/>
      <c r="AB48" s="49"/>
      <c r="AC48" s="41"/>
      <c r="AD48" s="49"/>
      <c r="AE48" s="49"/>
      <c r="AF48" s="40"/>
      <c r="AG48" s="49"/>
      <c r="AH48" s="35"/>
      <c r="AI48" s="84"/>
      <c r="AJ48" s="35"/>
      <c r="AK48" s="87"/>
    </row>
    <row r="49" spans="1:37" ht="18.75">
      <c r="A49" s="33"/>
      <c r="B49" s="58" t="s">
        <v>156</v>
      </c>
      <c r="C49" s="43">
        <f>'2021 Budget lines'!D147+'2021 Budget lines'!D148</f>
        <v>27000</v>
      </c>
      <c r="D49" s="50"/>
      <c r="E49" s="35"/>
      <c r="F49" s="43">
        <f>'2021 Budget lines'!F147+'2021 Budget lines'!F148</f>
        <v>27000</v>
      </c>
      <c r="G49" s="50"/>
      <c r="H49" s="43">
        <f>'2021 Budget lines'!H147+'2021 Budget lines'!H148</f>
        <v>9000</v>
      </c>
      <c r="I49" s="50"/>
      <c r="J49" s="35"/>
      <c r="K49" s="43">
        <f>'2021 Budget lines'!J147+'2021 Budget lines'!J148</f>
        <v>4000</v>
      </c>
      <c r="L49" s="50"/>
      <c r="M49" s="35"/>
      <c r="N49" s="43">
        <f>'2021 Budget lines'!N147+'2021 Budget lines'!N148</f>
        <v>22110.5</v>
      </c>
      <c r="O49" s="50"/>
      <c r="P49" s="35"/>
      <c r="Q49" s="43">
        <f>'2021 Budget lines'!P147+'2021 Budget lines'!P148</f>
        <v>25284.5</v>
      </c>
      <c r="R49" s="50"/>
      <c r="S49" s="50"/>
      <c r="T49" s="43">
        <f>'2021 Budget lines'!R147+'2021 Budget lines'!R148</f>
        <v>30117.88</v>
      </c>
      <c r="U49" s="50"/>
      <c r="V49" s="35"/>
      <c r="W49" s="43">
        <f>'2021 Budget lines'!T147+'2021 Budget lines'!T148</f>
        <v>39547.97</v>
      </c>
      <c r="X49" s="50"/>
      <c r="Y49" s="35"/>
      <c r="Z49" s="43">
        <f>'2021 Budget lines'!V147+'2021 Budget lines'!V148</f>
        <v>28479.08</v>
      </c>
      <c r="AA49" s="50"/>
      <c r="AB49" s="50"/>
      <c r="AC49" s="43">
        <f>'2021 Budget lines'!X147+'2021 Budget lines'!X148</f>
        <v>33501.369999999995</v>
      </c>
      <c r="AD49" s="50"/>
      <c r="AE49" s="50"/>
      <c r="AF49" s="43" t="e">
        <f>'2021 Budget lines'!#REF!+'2021 Budget lines'!#REF!</f>
        <v>#REF!</v>
      </c>
      <c r="AG49" s="50"/>
      <c r="AH49" s="35"/>
      <c r="AI49" s="43"/>
      <c r="AJ49" s="35"/>
      <c r="AK49" s="86"/>
    </row>
    <row r="50" spans="2:37" ht="18.75">
      <c r="B50" s="58" t="s">
        <v>157</v>
      </c>
      <c r="C50" s="43">
        <f>'2021 Budget lines'!D154</f>
        <v>15000</v>
      </c>
      <c r="D50" s="50"/>
      <c r="E50" s="35"/>
      <c r="F50" s="43">
        <f>'2021 Budget lines'!F154</f>
        <v>24000</v>
      </c>
      <c r="G50" s="50"/>
      <c r="H50" s="43">
        <f>'2021 Budget lines'!H154</f>
        <v>24000</v>
      </c>
      <c r="I50" s="50"/>
      <c r="J50" s="35"/>
      <c r="K50" s="43">
        <f>'2021 Budget lines'!J154</f>
        <v>13490.49</v>
      </c>
      <c r="L50" s="50"/>
      <c r="M50" s="35"/>
      <c r="N50" s="43">
        <f>'2021 Budget lines'!N154</f>
        <v>22164.34</v>
      </c>
      <c r="O50" s="50"/>
      <c r="P50" s="35"/>
      <c r="Q50" s="43">
        <f>'2021 Budget lines'!P154</f>
        <v>35438.53</v>
      </c>
      <c r="R50" s="50"/>
      <c r="S50" s="50"/>
      <c r="T50" s="43">
        <f>'2021 Budget lines'!R154</f>
        <v>27438.42</v>
      </c>
      <c r="U50" s="50"/>
      <c r="V50" s="35"/>
      <c r="W50" s="43">
        <f>'2021 Budget lines'!T154</f>
        <v>67470.38</v>
      </c>
      <c r="X50" s="50"/>
      <c r="Y50" s="35"/>
      <c r="Z50" s="43">
        <f>'2021 Budget lines'!V154</f>
        <v>105364.8</v>
      </c>
      <c r="AA50" s="50"/>
      <c r="AB50" s="50"/>
      <c r="AC50" s="43">
        <f>'2021 Budget lines'!X154</f>
        <v>48517.59</v>
      </c>
      <c r="AD50" s="50"/>
      <c r="AE50" s="50"/>
      <c r="AF50" s="43" t="e">
        <f>'2021 Budget lines'!#REF!</f>
        <v>#REF!</v>
      </c>
      <c r="AG50" s="50"/>
      <c r="AH50" s="35"/>
      <c r="AI50" s="43"/>
      <c r="AJ50" s="35"/>
      <c r="AK50" s="86"/>
    </row>
    <row r="51" spans="2:37" ht="18.75">
      <c r="B51" s="58" t="s">
        <v>158</v>
      </c>
      <c r="C51" s="43">
        <f>'2021 Budget lines'!D152+'2021 Budget lines'!D153+'2021 Budget lines'!D155+SUM('2021 Budget lines'!D159:D169)+'2021 Budget lines'!D172</f>
        <v>659714.1872</v>
      </c>
      <c r="D51" s="50"/>
      <c r="E51" s="35"/>
      <c r="F51" s="43">
        <f>'2021 Budget lines'!F152+'2021 Budget lines'!F153+'2021 Budget lines'!F155+SUM('2021 Budget lines'!F159:F169)+'2021 Budget lines'!F172</f>
        <v>601283.9186</v>
      </c>
      <c r="G51" s="50"/>
      <c r="H51" s="43">
        <f>'2021 Budget lines'!H152+'2021 Budget lines'!H153+'2021 Budget lines'!H155+SUM('2021 Budget lines'!H159:H169)+'2021 Budget lines'!H172</f>
        <v>619300</v>
      </c>
      <c r="I51" s="50"/>
      <c r="J51" s="35"/>
      <c r="K51" s="43">
        <f>'2021 Budget lines'!J152+'2021 Budget lines'!J153+'2021 Budget lines'!J155+SUM('2021 Budget lines'!J159:J169)+'2021 Budget lines'!J172</f>
        <v>-99541.42</v>
      </c>
      <c r="L51" s="50"/>
      <c r="M51" s="35"/>
      <c r="N51" s="43">
        <f>'2021 Budget lines'!N152+'2021 Budget lines'!N153+'2021 Budget lines'!N155+SUM('2021 Budget lines'!N159:N169)+'2021 Budget lines'!N172</f>
        <v>627092.01</v>
      </c>
      <c r="O51" s="50"/>
      <c r="P51" s="35"/>
      <c r="Q51" s="43">
        <f>'2021 Budget lines'!P152+'2021 Budget lines'!P153+'2021 Budget lines'!P155+SUM('2021 Budget lines'!P159:P169)+'2021 Budget lines'!P172</f>
        <v>563505.14</v>
      </c>
      <c r="R51" s="50"/>
      <c r="S51" s="50"/>
      <c r="T51" s="43">
        <f>'2021 Budget lines'!R152+'2021 Budget lines'!R153+'2021 Budget lines'!R155+SUM('2021 Budget lines'!R159:R169)+'2021 Budget lines'!R172</f>
        <v>441334.17</v>
      </c>
      <c r="U51" s="50"/>
      <c r="V51" s="35"/>
      <c r="W51" s="43">
        <f>'2021 Budget lines'!T152+'2021 Budget lines'!T153+'2021 Budget lines'!T155+SUM('2021 Budget lines'!T159:T169)+'2021 Budget lines'!T172</f>
        <v>389440.93000000005</v>
      </c>
      <c r="X51" s="50"/>
      <c r="Y51" s="35"/>
      <c r="Z51" s="43">
        <f>'2021 Budget lines'!V152+'2021 Budget lines'!V153+'2021 Budget lines'!V155+SUM('2021 Budget lines'!V159:V169)+'2021 Budget lines'!V172</f>
        <v>351506.08999999997</v>
      </c>
      <c r="AA51" s="50"/>
      <c r="AB51" s="50"/>
      <c r="AC51" s="43">
        <f>'2021 Budget lines'!X152+'2021 Budget lines'!X153+'2021 Budget lines'!X155+SUM('2021 Budget lines'!X159:X169)+'2021 Budget lines'!X172</f>
        <v>339495.97</v>
      </c>
      <c r="AD51" s="50"/>
      <c r="AE51" s="50"/>
      <c r="AF51" s="43" t="e">
        <f>'2021 Budget lines'!#REF!+'2021 Budget lines'!#REF!+'2021 Budget lines'!#REF!+SUM('2021 Budget lines'!#REF!)+'2021 Budget lines'!#REF!</f>
        <v>#REF!</v>
      </c>
      <c r="AG51" s="50"/>
      <c r="AH51" s="35"/>
      <c r="AI51" s="43"/>
      <c r="AJ51" s="35"/>
      <c r="AK51" s="87"/>
    </row>
    <row r="52" spans="2:37" ht="18.75">
      <c r="B52" s="58" t="s">
        <v>159</v>
      </c>
      <c r="C52" s="43">
        <f>'2021 Budget lines'!D149+'2021 Budget lines'!D150+'2021 Budget lines'!D151</f>
        <v>6500</v>
      </c>
      <c r="D52" s="50"/>
      <c r="E52" s="35"/>
      <c r="F52" s="43">
        <f>'2021 Budget lines'!F149+'2021 Budget lines'!F150+'2021 Budget lines'!F151</f>
        <v>6200</v>
      </c>
      <c r="G52" s="50"/>
      <c r="H52" s="43">
        <f>'2021 Budget lines'!H149+'2021 Budget lines'!H150+'2021 Budget lines'!H151</f>
        <v>6200</v>
      </c>
      <c r="I52" s="50"/>
      <c r="J52" s="35"/>
      <c r="K52" s="43">
        <f>'2021 Budget lines'!J149+'2021 Budget lines'!J150+'2021 Budget lines'!J151</f>
        <v>10</v>
      </c>
      <c r="L52" s="50"/>
      <c r="M52" s="35"/>
      <c r="N52" s="43">
        <f>'2021 Budget lines'!N149+'2021 Budget lines'!N150+'2021 Budget lines'!N151</f>
        <v>60</v>
      </c>
      <c r="O52" s="50"/>
      <c r="P52" s="35"/>
      <c r="Q52" s="43">
        <f>'2021 Budget lines'!P149+'2021 Budget lines'!P150+'2021 Budget lines'!P151</f>
        <v>3928.56</v>
      </c>
      <c r="R52" s="50"/>
      <c r="S52" s="50"/>
      <c r="T52" s="43">
        <f>'2021 Budget lines'!R149+'2021 Budget lines'!R150+'2021 Budget lines'!R151</f>
        <v>5734.06</v>
      </c>
      <c r="U52" s="50"/>
      <c r="V52" s="35"/>
      <c r="W52" s="43">
        <f>'2021 Budget lines'!T149+'2021 Budget lines'!T150+'2021 Budget lines'!T151</f>
        <v>6068.41</v>
      </c>
      <c r="X52" s="50"/>
      <c r="Y52" s="35"/>
      <c r="Z52" s="43">
        <f>'2021 Budget lines'!V149+'2021 Budget lines'!V150+'2021 Budget lines'!V151</f>
        <v>9669.8</v>
      </c>
      <c r="AA52" s="50"/>
      <c r="AB52" s="50"/>
      <c r="AC52" s="43">
        <f>'2021 Budget lines'!X149+'2021 Budget lines'!X150+'2021 Budget lines'!X151</f>
        <v>10516.77</v>
      </c>
      <c r="AD52" s="50"/>
      <c r="AE52" s="50"/>
      <c r="AF52" s="43" t="e">
        <f>'2021 Budget lines'!#REF!+'2021 Budget lines'!#REF!+'2021 Budget lines'!#REF!</f>
        <v>#REF!</v>
      </c>
      <c r="AG52" s="50"/>
      <c r="AH52" s="35"/>
      <c r="AI52" s="43"/>
      <c r="AJ52" s="35"/>
      <c r="AK52" s="87"/>
    </row>
    <row r="53" spans="2:37" ht="18.75">
      <c r="B53" s="58" t="s">
        <v>160</v>
      </c>
      <c r="C53" s="43">
        <f>'2021 Budget lines'!D156</f>
        <v>34000</v>
      </c>
      <c r="D53" s="50"/>
      <c r="E53" s="35"/>
      <c r="F53" s="43">
        <f>'2021 Budget lines'!F156</f>
        <v>33000</v>
      </c>
      <c r="G53" s="50"/>
      <c r="H53" s="43">
        <f>'2021 Budget lines'!H156</f>
        <v>33000</v>
      </c>
      <c r="I53" s="50"/>
      <c r="J53" s="35"/>
      <c r="K53" s="43">
        <f>'2021 Budget lines'!J156</f>
        <v>26442</v>
      </c>
      <c r="L53" s="50"/>
      <c r="M53" s="35"/>
      <c r="N53" s="43">
        <f>'2021 Budget lines'!N156</f>
        <v>29086.2</v>
      </c>
      <c r="O53" s="50"/>
      <c r="P53" s="35"/>
      <c r="Q53" s="43">
        <f>'2021 Budget lines'!P156</f>
        <v>31730.4</v>
      </c>
      <c r="R53" s="50"/>
      <c r="S53" s="50"/>
      <c r="T53" s="43">
        <f>'2021 Budget lines'!R156</f>
        <v>31730.4</v>
      </c>
      <c r="U53" s="50"/>
      <c r="V53" s="35"/>
      <c r="W53" s="43">
        <f>'2021 Budget lines'!T156</f>
        <v>31730.4</v>
      </c>
      <c r="X53" s="50"/>
      <c r="Y53" s="35"/>
      <c r="Z53" s="43">
        <f>'2021 Budget lines'!V156</f>
        <v>34374.6</v>
      </c>
      <c r="AA53" s="50"/>
      <c r="AB53" s="50"/>
      <c r="AC53" s="43">
        <f>'2021 Budget lines'!X156</f>
        <v>30754.08</v>
      </c>
      <c r="AD53" s="50"/>
      <c r="AE53" s="50"/>
      <c r="AF53" s="43" t="e">
        <f>'2021 Budget lines'!#REF!</f>
        <v>#REF!</v>
      </c>
      <c r="AG53" s="50"/>
      <c r="AH53" s="35"/>
      <c r="AI53" s="43"/>
      <c r="AJ53" s="35"/>
      <c r="AK53" s="87"/>
    </row>
    <row r="54" spans="2:37" ht="19.5" thickBot="1">
      <c r="B54" s="58" t="s">
        <v>186</v>
      </c>
      <c r="C54" s="43">
        <f>'2021 Budget lines'!D170+'2021 Budget lines'!D171</f>
        <v>28500</v>
      </c>
      <c r="D54" s="59">
        <f>SUM(C49:C54)</f>
        <v>770714.1872</v>
      </c>
      <c r="E54" s="35"/>
      <c r="F54" s="43">
        <f>'2021 Budget lines'!F170+'2021 Budget lines'!F171</f>
        <v>16500</v>
      </c>
      <c r="G54" s="59">
        <f>SUM(F49:F54)</f>
        <v>707983.9186</v>
      </c>
      <c r="H54" s="43">
        <f>'2021 Budget lines'!H170+'2021 Budget lines'!H171</f>
        <v>83155.9</v>
      </c>
      <c r="I54" s="59">
        <f>SUM(H49:H54)</f>
        <v>774655.9</v>
      </c>
      <c r="J54" s="35"/>
      <c r="K54" s="43">
        <f>'2021 Budget lines'!J170+'2021 Budget lines'!J171</f>
        <v>20525.18</v>
      </c>
      <c r="L54" s="59">
        <f>SUM(K49:K54)</f>
        <v>-35073.74999999999</v>
      </c>
      <c r="M54" s="35"/>
      <c r="N54" s="43">
        <f>'2021 Budget lines'!N170+'2021 Budget lines'!N171</f>
        <v>33127.74</v>
      </c>
      <c r="O54" s="59">
        <f>SUM(N49:N54)</f>
        <v>733640.7899999999</v>
      </c>
      <c r="P54" s="35"/>
      <c r="Q54" s="43">
        <f>'2021 Budget lines'!P170+'2021 Budget lines'!P171</f>
        <v>92957.73999999999</v>
      </c>
      <c r="R54" s="59">
        <f>SUM(Q49:Q54)</f>
        <v>752844.8700000001</v>
      </c>
      <c r="S54" s="59"/>
      <c r="T54" s="43">
        <f>'2021 Budget lines'!R170+'2021 Budget lines'!R171</f>
        <v>112583.93</v>
      </c>
      <c r="U54" s="59">
        <f>SUM(T49:T54)</f>
        <v>648938.8599999999</v>
      </c>
      <c r="V54" s="35"/>
      <c r="W54" s="43">
        <f>'2021 Budget lines'!T170+'2021 Budget lines'!T171</f>
        <v>205783.53000000003</v>
      </c>
      <c r="X54" s="59">
        <f>SUM(W49:W54)</f>
        <v>740041.62</v>
      </c>
      <c r="Y54" s="35"/>
      <c r="Z54" s="43">
        <f>'2021 Budget lines'!V170+'2021 Budget lines'!V171</f>
        <v>150212.83000000002</v>
      </c>
      <c r="AA54" s="59">
        <f>SUM(Z49:Z54)</f>
        <v>679607.2</v>
      </c>
      <c r="AB54" s="59"/>
      <c r="AC54" s="43">
        <f>'2021 Budget lines'!X170+'2021 Budget lines'!X171</f>
        <v>185212.41</v>
      </c>
      <c r="AD54" s="59">
        <f>SUM(AC49:AC54)</f>
        <v>647998.19</v>
      </c>
      <c r="AE54" s="59"/>
      <c r="AF54" s="43" t="e">
        <f>'2021 Budget lines'!#REF!+'2021 Budget lines'!#REF!</f>
        <v>#REF!</v>
      </c>
      <c r="AG54" s="59" t="e">
        <f>SUM(AF49:AF54)</f>
        <v>#REF!</v>
      </c>
      <c r="AH54" s="35"/>
      <c r="AI54" s="43"/>
      <c r="AJ54" s="35"/>
      <c r="AK54" s="86"/>
    </row>
    <row r="55" spans="2:37" ht="19.5" thickBot="1">
      <c r="B55" s="75" t="s">
        <v>22</v>
      </c>
      <c r="C55" s="62"/>
      <c r="D55" s="64">
        <f>SUM(C49:C54)</f>
        <v>770714.1872</v>
      </c>
      <c r="E55" s="62"/>
      <c r="F55" s="62"/>
      <c r="G55" s="64">
        <f>SUM(F49:F54)</f>
        <v>707983.9186</v>
      </c>
      <c r="H55" s="62"/>
      <c r="I55" s="64">
        <f>SUM(H49:H54)</f>
        <v>774655.9</v>
      </c>
      <c r="J55" s="62"/>
      <c r="K55" s="62"/>
      <c r="L55" s="64">
        <f>SUM(K49:K54)</f>
        <v>-35073.74999999999</v>
      </c>
      <c r="M55" s="62"/>
      <c r="N55" s="62"/>
      <c r="O55" s="64">
        <f>SUM(N49:N54)</f>
        <v>733640.7899999999</v>
      </c>
      <c r="P55" s="62"/>
      <c r="Q55" s="62"/>
      <c r="R55" s="64">
        <f>SUM(Q49:Q54)</f>
        <v>752844.8700000001</v>
      </c>
      <c r="S55" s="64"/>
      <c r="T55" s="64"/>
      <c r="U55" s="64">
        <f>SUM(T49:T54)</f>
        <v>648938.8599999999</v>
      </c>
      <c r="V55" s="62"/>
      <c r="W55" s="62"/>
      <c r="X55" s="64">
        <f>SUM(W49:W54)</f>
        <v>740041.62</v>
      </c>
      <c r="Y55" s="62"/>
      <c r="Z55" s="62"/>
      <c r="AA55" s="64">
        <f>SUM(Z49:Z54)</f>
        <v>679607.2</v>
      </c>
      <c r="AB55" s="64"/>
      <c r="AC55" s="62"/>
      <c r="AD55" s="64">
        <f>SUM(AC49:AC54)</f>
        <v>647998.19</v>
      </c>
      <c r="AE55" s="64"/>
      <c r="AF55" s="76"/>
      <c r="AG55" s="64" t="e">
        <f>SUM(AF49:AF54)</f>
        <v>#REF!</v>
      </c>
      <c r="AH55" s="35"/>
      <c r="AI55" s="43"/>
      <c r="AJ55" s="35"/>
      <c r="AK55" s="88"/>
    </row>
    <row r="56" spans="2:37" ht="8.25" customHeight="1">
      <c r="B56" s="32"/>
      <c r="T56" s="35"/>
      <c r="U56" s="35"/>
      <c r="AF56" s="68"/>
      <c r="AH56" s="35"/>
      <c r="AI56" s="84"/>
      <c r="AJ56" s="35"/>
      <c r="AK56" s="35"/>
    </row>
    <row r="57" spans="2:37" ht="18.75">
      <c r="B57" s="66" t="s">
        <v>141</v>
      </c>
      <c r="D57" s="52">
        <f>D45+D46-D55</f>
        <v>2991119.1177999997</v>
      </c>
      <c r="G57" s="52">
        <f>G45+G46-G55</f>
        <v>3029374.3038000003</v>
      </c>
      <c r="I57" s="52">
        <f>I45+I46-I55</f>
        <v>2560715.3224000004</v>
      </c>
      <c r="L57" s="52">
        <f>L45+L46-L55</f>
        <v>2098739.1799999997</v>
      </c>
      <c r="O57" s="52">
        <f>O45+O46-O55</f>
        <v>2923013.9699999997</v>
      </c>
      <c r="R57" s="52">
        <f>R45+R46-R55</f>
        <v>2739504.0699999994</v>
      </c>
      <c r="S57" s="52"/>
      <c r="T57" s="59"/>
      <c r="U57" s="59">
        <f>U45+U46-U55</f>
        <v>2989733.5300000003</v>
      </c>
      <c r="X57" s="52">
        <f>X45+X46-X55</f>
        <v>3188381.0300000003</v>
      </c>
      <c r="AA57" s="52">
        <f>AA45+AA46-AA55</f>
        <v>3095897.45</v>
      </c>
      <c r="AB57" s="52"/>
      <c r="AD57" s="52">
        <f>AD45+AD46-AD55</f>
        <v>3142732.9100000006</v>
      </c>
      <c r="AE57" s="52"/>
      <c r="AF57" s="68"/>
      <c r="AG57" s="52" t="e">
        <f>AG45+AG46-AG55</f>
        <v>#REF!</v>
      </c>
      <c r="AH57" s="35"/>
      <c r="AI57" s="43"/>
      <c r="AJ57" s="83"/>
      <c r="AK57" s="35"/>
    </row>
    <row r="58" spans="2:37" ht="18.75">
      <c r="B58" s="66" t="s">
        <v>168</v>
      </c>
      <c r="D58" s="52">
        <v>120000</v>
      </c>
      <c r="G58" s="52">
        <f>'2021 Budget lines'!F177</f>
        <v>115000</v>
      </c>
      <c r="I58" s="52"/>
      <c r="L58" s="52"/>
      <c r="O58" s="52"/>
      <c r="R58" s="52"/>
      <c r="S58" s="52"/>
      <c r="T58" s="59"/>
      <c r="U58" s="59"/>
      <c r="X58" s="52"/>
      <c r="AA58" s="52"/>
      <c r="AB58" s="52"/>
      <c r="AD58" s="52"/>
      <c r="AE58" s="52"/>
      <c r="AF58" s="68"/>
      <c r="AG58" s="52"/>
      <c r="AH58" s="35"/>
      <c r="AI58" s="43"/>
      <c r="AJ58" s="35"/>
      <c r="AK58" s="88"/>
    </row>
    <row r="59" spans="2:37" ht="16.5" customHeight="1" thickBot="1">
      <c r="B59" s="67"/>
      <c r="C59" s="35"/>
      <c r="E59" s="35"/>
      <c r="F59" s="35"/>
      <c r="H59" s="35"/>
      <c r="J59" s="35"/>
      <c r="K59" s="35"/>
      <c r="M59" s="35"/>
      <c r="N59" s="35"/>
      <c r="P59" s="35"/>
      <c r="Q59" s="35"/>
      <c r="T59" s="35"/>
      <c r="U59" s="35"/>
      <c r="V59" s="35"/>
      <c r="W59" s="35"/>
      <c r="Y59" s="35"/>
      <c r="Z59" s="35"/>
      <c r="AC59" s="35"/>
      <c r="AF59" s="68"/>
      <c r="AH59" s="35"/>
      <c r="AI59" s="84"/>
      <c r="AJ59" s="35"/>
      <c r="AK59" s="86"/>
    </row>
    <row r="60" spans="2:37" ht="19.5" thickBot="1">
      <c r="B60" s="61" t="s">
        <v>173</v>
      </c>
      <c r="C60" s="62"/>
      <c r="D60" s="64">
        <f>D57+D58</f>
        <v>3111119.1177999997</v>
      </c>
      <c r="E60" s="62"/>
      <c r="F60" s="62"/>
      <c r="G60" s="64">
        <f>G57+G58</f>
        <v>3144374.3038000003</v>
      </c>
      <c r="H60" s="62"/>
      <c r="I60" s="64">
        <f>'2021 Budget lines'!H178</f>
        <v>2750000</v>
      </c>
      <c r="J60" s="62"/>
      <c r="K60" s="62"/>
      <c r="L60" s="64">
        <f>'2021 Budget lines'!J178</f>
        <v>2200000.75</v>
      </c>
      <c r="M60" s="62"/>
      <c r="N60" s="62"/>
      <c r="O60" s="64">
        <f>'2021 Budget lines'!N178</f>
        <v>2999385.45</v>
      </c>
      <c r="P60" s="62"/>
      <c r="Q60" s="62"/>
      <c r="R60" s="64">
        <f>'2021 Budget lines'!P178</f>
        <v>3117041.51</v>
      </c>
      <c r="S60" s="64"/>
      <c r="T60" s="64"/>
      <c r="U60" s="64">
        <f>'2021 Budget lines'!R178</f>
        <v>3244643.41</v>
      </c>
      <c r="V60" s="62"/>
      <c r="W60" s="62"/>
      <c r="X60" s="64">
        <f>'2021 Budget lines'!T178</f>
        <v>3236461.13</v>
      </c>
      <c r="Y60" s="62"/>
      <c r="Z60" s="62"/>
      <c r="AA60" s="64">
        <f>'2021 Budget lines'!V178</f>
        <v>3129369</v>
      </c>
      <c r="AB60" s="64"/>
      <c r="AC60" s="62"/>
      <c r="AD60" s="64">
        <f>'2021 Budget lines'!X178</f>
        <v>3156935.27</v>
      </c>
      <c r="AE60" s="64"/>
      <c r="AF60" s="76"/>
      <c r="AG60" s="64" t="e">
        <f>'2021 Budget lines'!#REF!</f>
        <v>#REF!</v>
      </c>
      <c r="AH60" s="35"/>
      <c r="AI60" s="43"/>
      <c r="AJ60" s="35"/>
      <c r="AK60" s="87"/>
    </row>
    <row r="61" spans="2:36" ht="19.5" thickBot="1">
      <c r="B61" s="67" t="s">
        <v>179</v>
      </c>
      <c r="C61" s="35"/>
      <c r="D61" s="35"/>
      <c r="E61" s="35"/>
      <c r="F61" s="35"/>
      <c r="G61" s="35"/>
      <c r="H61" s="35"/>
      <c r="I61" s="81">
        <f>I60-I57</f>
        <v>189284.6775999996</v>
      </c>
      <c r="J61" s="35"/>
      <c r="K61" s="35"/>
      <c r="L61" s="81">
        <f>L60-L57</f>
        <v>101261.5700000003</v>
      </c>
      <c r="M61" s="35"/>
      <c r="N61" s="35"/>
      <c r="O61" s="81">
        <f>O60-O57</f>
        <v>76371.48000000045</v>
      </c>
      <c r="P61" s="35"/>
      <c r="Q61" s="35"/>
      <c r="R61" s="81">
        <f>R60-R57</f>
        <v>377537.4400000004</v>
      </c>
      <c r="S61" s="59"/>
      <c r="T61" s="59"/>
      <c r="U61" s="81">
        <f>U60-U57</f>
        <v>254909.8799999999</v>
      </c>
      <c r="V61" s="35"/>
      <c r="W61" s="35"/>
      <c r="X61" s="81">
        <f>X60-X57</f>
        <v>48080.09999999963</v>
      </c>
      <c r="Y61" s="35"/>
      <c r="Z61" s="35"/>
      <c r="AA61" s="81">
        <f>AA60-AA57</f>
        <v>33471.549999999814</v>
      </c>
      <c r="AB61" s="59"/>
      <c r="AC61" s="35"/>
      <c r="AD61" s="81">
        <f>AD60-AD57</f>
        <v>14202.359999999404</v>
      </c>
      <c r="AG61" s="81" t="e">
        <f>AG60-AG57</f>
        <v>#REF!</v>
      </c>
      <c r="AJ61" s="6"/>
    </row>
    <row r="62" spans="2:36" ht="9" customHeight="1" thickTop="1">
      <c r="B62" s="67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84"/>
      <c r="AD62" s="84"/>
      <c r="AG62" s="52"/>
      <c r="AJ62" s="6"/>
    </row>
    <row r="63" spans="2:36" ht="17.25" customHeight="1">
      <c r="B63" s="67" t="s">
        <v>203</v>
      </c>
      <c r="C63" s="35"/>
      <c r="D63" s="35"/>
      <c r="E63" s="35"/>
      <c r="F63" s="35"/>
      <c r="G63" s="35"/>
      <c r="H63" s="35"/>
      <c r="I63" s="102">
        <f>-30000</f>
        <v>-30000</v>
      </c>
      <c r="J63" s="35"/>
      <c r="K63" s="35"/>
      <c r="L63" s="35"/>
      <c r="M63" s="35"/>
      <c r="N63" s="84"/>
      <c r="O63" s="102">
        <f>-42255.21</f>
        <v>-42255.21</v>
      </c>
      <c r="P63" s="84"/>
      <c r="Q63" s="84"/>
      <c r="R63" s="102">
        <f>-24918.75</f>
        <v>-24918.75</v>
      </c>
      <c r="S63" s="84"/>
      <c r="T63" s="84"/>
      <c r="U63" s="102">
        <f>-21258.89</f>
        <v>-21258.89</v>
      </c>
      <c r="V63" s="35"/>
      <c r="W63" s="35"/>
      <c r="X63" s="102">
        <f>-41078.81</f>
        <v>-41078.81</v>
      </c>
      <c r="Y63" s="35"/>
      <c r="Z63" s="35"/>
      <c r="AA63" s="102">
        <v>27103.91</v>
      </c>
      <c r="AB63" s="35"/>
      <c r="AC63" s="84"/>
      <c r="AD63" s="102">
        <v>-45135.92</v>
      </c>
      <c r="AG63" s="52"/>
      <c r="AJ63" s="6"/>
    </row>
    <row r="64" spans="2:36" ht="18.75">
      <c r="B64" s="67" t="s">
        <v>180</v>
      </c>
      <c r="C64" s="35"/>
      <c r="D64" s="35"/>
      <c r="E64" s="35"/>
      <c r="F64" s="35"/>
      <c r="G64" s="35"/>
      <c r="H64" s="35"/>
      <c r="I64" s="102">
        <f>-202456-30000</f>
        <v>-232456</v>
      </c>
      <c r="J64" s="35"/>
      <c r="K64" s="35"/>
      <c r="L64" s="35"/>
      <c r="M64" s="35"/>
      <c r="N64" s="84"/>
      <c r="O64" s="102">
        <f>-202456</f>
        <v>-202456</v>
      </c>
      <c r="P64" s="84"/>
      <c r="Q64" s="84"/>
      <c r="R64" s="102">
        <f>-162741.75</f>
        <v>-162741.75</v>
      </c>
      <c r="S64" s="84"/>
      <c r="T64" s="84"/>
      <c r="U64" s="102">
        <f>-137823</f>
        <v>-137823</v>
      </c>
      <c r="V64" s="35"/>
      <c r="W64" s="35"/>
      <c r="X64" s="102">
        <f>-115792.37</f>
        <v>-115792.37</v>
      </c>
      <c r="Y64" s="35"/>
      <c r="Z64" s="35"/>
      <c r="AA64" s="102">
        <f>-74713.56</f>
        <v>-74713.56</v>
      </c>
      <c r="AB64" s="35"/>
      <c r="AC64" s="84"/>
      <c r="AD64" s="102">
        <f>AG64-45135.92</f>
        <v>-101097.45999999999</v>
      </c>
      <c r="AG64" s="52">
        <f>-55961.54</f>
        <v>-55961.54</v>
      </c>
      <c r="AJ64" s="6"/>
    </row>
    <row r="65" spans="2:37" ht="18.75">
      <c r="B65" s="79" t="s">
        <v>425</v>
      </c>
      <c r="I65" s="103">
        <f>306294+189285-30000</f>
        <v>465579</v>
      </c>
      <c r="N65" s="4"/>
      <c r="O65" s="103">
        <f>306294</f>
        <v>306294</v>
      </c>
      <c r="P65" s="4"/>
      <c r="Q65" s="4"/>
      <c r="R65" s="103">
        <v>257717.47</v>
      </c>
      <c r="S65" s="4"/>
      <c r="T65" s="84"/>
      <c r="U65" s="102">
        <v>-94638.98</v>
      </c>
      <c r="X65" s="102">
        <f>-327518.17</f>
        <v>-327518.17</v>
      </c>
      <c r="AA65" s="103">
        <f>-334517.98</f>
        <v>-334517.98</v>
      </c>
      <c r="AC65" s="4"/>
      <c r="AD65" s="103">
        <f>-394372.7</f>
        <v>-394372.7</v>
      </c>
      <c r="AG65" s="52">
        <f>-363441.21</f>
        <v>-363441.21</v>
      </c>
      <c r="AK65" s="72"/>
    </row>
    <row r="66" spans="20:37" ht="15.75">
      <c r="T66" s="35"/>
      <c r="U66" s="35"/>
      <c r="AK66" s="70"/>
    </row>
    <row r="67" ht="15.75">
      <c r="AK67" s="71"/>
    </row>
    <row r="73" spans="2:24" ht="18.75">
      <c r="B73" s="67" t="s">
        <v>409</v>
      </c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</row>
    <row r="74" ht="15.75">
      <c r="B74" s="5" t="s">
        <v>410</v>
      </c>
    </row>
    <row r="75" ht="15.75">
      <c r="B75" s="5" t="s">
        <v>411</v>
      </c>
    </row>
  </sheetData>
  <sheetProtection/>
  <printOptions/>
  <pageMargins left="0" right="0" top="0.03937007874015748" bottom="0.07874015748031496" header="0.1968503937007874" footer="0.15748031496062992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Huron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Mungar</dc:creator>
  <cp:keywords/>
  <dc:description/>
  <cp:lastModifiedBy>Davor Milicevic</cp:lastModifiedBy>
  <cp:lastPrinted>2020-11-04T17:48:44Z</cp:lastPrinted>
  <dcterms:created xsi:type="dcterms:W3CDTF">1997-07-22T14:57:39Z</dcterms:created>
  <dcterms:modified xsi:type="dcterms:W3CDTF">2021-01-08T17:06:44Z</dcterms:modified>
  <cp:category/>
  <cp:version/>
  <cp:contentType/>
  <cp:contentStatus/>
</cp:coreProperties>
</file>